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48" firstSheet="9" activeTab="10"/>
  </bookViews>
  <sheets>
    <sheet name="1-ԱՄՓՈՓ" sheetId="1" r:id="rId1"/>
    <sheet name="2-ԸՆԴԱՄԵՆԸ ԾԱԽՍԵՐ" sheetId="2" r:id="rId2"/>
    <sheet name="3-Ծախսերի բացվածք" sheetId="3" r:id="rId3"/>
    <sheet name="4-ԿԱՊ" sheetId="4" r:id="rId4"/>
    <sheet name="7-էլ-էներգիա" sheetId="5" r:id="rId5"/>
    <sheet name="9-գազով ջեռուցում" sheetId="6" r:id="rId6"/>
    <sheet name="10-գործուղում" sheetId="7" r:id="rId7"/>
    <sheet name="11-ավտոմեքենա" sheetId="8" r:id="rId8"/>
    <sheet name="12-վարչական սարքավորումներ" sheetId="9" r:id="rId9"/>
    <sheet name="15ընթացիկ նորոգում" sheetId="10" r:id="rId10"/>
    <sheet name="17կառուցվածք" sheetId="11" r:id="rId11"/>
  </sheets>
  <definedNames>
    <definedName name="_xlnm.Print_Titles" localSheetId="1">'2-ԸՆԴԱՄԵՆԸ ԾԱԽՍԵՐ'!$6:$8</definedName>
  </definedNames>
  <calcPr fullCalcOnLoad="1"/>
</workbook>
</file>

<file path=xl/sharedStrings.xml><?xml version="1.0" encoding="utf-8"?>
<sst xmlns="http://schemas.openxmlformats.org/spreadsheetml/2006/main" count="1296" uniqueCount="715">
  <si>
    <t>.</t>
  </si>
  <si>
    <t>x</t>
  </si>
  <si>
    <t>I</t>
  </si>
  <si>
    <t>II</t>
  </si>
  <si>
    <t>III</t>
  </si>
  <si>
    <t>NN</t>
  </si>
  <si>
    <t>*</t>
  </si>
  <si>
    <t>V</t>
  </si>
  <si>
    <t xml:space="preserve">Ձև N  1 </t>
  </si>
  <si>
    <t>Կառավարման  ապարատ</t>
  </si>
  <si>
    <t xml:space="preserve">Հայտատուի  անվանումը </t>
  </si>
  <si>
    <t>հաստատված բյուջե</t>
  </si>
  <si>
    <t>բյուջետային  հայտ</t>
  </si>
  <si>
    <t>Ծառայողական  ավտոմեքենաների  քանակը</t>
  </si>
  <si>
    <t>ԸՆԴԱՄԵՆԸ  ԾԱԽՍԵՐ</t>
  </si>
  <si>
    <t xml:space="preserve">Ձև N  2 </t>
  </si>
  <si>
    <t>կոդը</t>
  </si>
  <si>
    <t>ԸՆԹԱՑԻԿ  ԾԱԽՍԵՐ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</si>
  <si>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</si>
  <si>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</si>
  <si>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-Քաղաքացիական, դատական և պետական ծառայողների պարգևատրում </t>
  </si>
  <si>
    <t>Էներգետիկ ծառայություններ</t>
  </si>
  <si>
    <t>Կոմունալ ծառայություններ</t>
  </si>
  <si>
    <t>Ջրամատակարարման և ջրահեռացման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</si>
  <si>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</si>
  <si>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</si>
  <si>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</si>
  <si>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Արտագերատեսչական ծախսեր</t>
  </si>
  <si>
    <t>Ներքին  գործուղումներ</t>
  </si>
  <si>
    <t>Արտասահմանյան գործուղումների գծով ծախսեր</t>
  </si>
  <si>
    <t>Վարչական ծառայություններ</t>
  </si>
  <si>
    <t>Համակարգչային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</si>
  <si>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</si>
  <si>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</si>
  <si>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</si>
  <si>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</si>
  <si>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</si>
  <si>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</si>
  <si>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</si>
  <si>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</si>
  <si>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Ավտոմեքենաների ընթացիկ նորոգում և պահպանում</t>
  </si>
  <si>
    <t>Սարքավորումների ընթացիկ նորոգում և պահպանում</t>
  </si>
  <si>
    <t>Գրասենյակային նյութեր և հագուստ</t>
  </si>
  <si>
    <t>Գրասենյակային պիտույքներ</t>
  </si>
  <si>
    <t>Հագուստ և համազգեստ</t>
  </si>
  <si>
    <t>Հատուկ նպատակային այլ նյութեր</t>
  </si>
  <si>
    <t>Սուբսիդիաներ ոչ ֆինանսական պետական կազմակերպություններին</t>
  </si>
  <si>
    <t>Ընթացիկ դրամաշնորհներ միջազգային կազմակերպություններին</t>
  </si>
  <si>
    <t>Այլ նպաստներ բյուջեից</t>
  </si>
  <si>
    <t>Այլ հարկեր</t>
  </si>
  <si>
    <t>Պարտադիր վճարներ</t>
  </si>
  <si>
    <t>Այլ  ծախսեր</t>
  </si>
  <si>
    <t>Պահուստային միջոցներ</t>
  </si>
  <si>
    <t>այդ  թվում`</t>
  </si>
  <si>
    <t xml:space="preserve"> ՈՉ ՖԻՆԱՆՍԱԿԱՆ ԱԿՏԻՎՆԵՐԻ ԳԾՈՎ ԾԱԽՍԵՐ</t>
  </si>
  <si>
    <t xml:space="preserve">Տրանսպորտային սարքավորումներ </t>
  </si>
  <si>
    <t>Վարչական  սարքավորումներ</t>
  </si>
  <si>
    <t>Այլ մեքենաներ և սարքավորումներ</t>
  </si>
  <si>
    <t xml:space="preserve">Ոչ նյութական հիմնական միջոցներ </t>
  </si>
  <si>
    <t>Հ Ա Շ Վ Ա Ր Կ</t>
  </si>
  <si>
    <t>Բաժանորդային վարձ</t>
  </si>
  <si>
    <t xml:space="preserve"> Հեռախոսային խոսակցություններ</t>
  </si>
  <si>
    <t xml:space="preserve">Փոքր ունակությամբ (PABX) հեռախոսակայան ներ չշահագործող մարմին ների սովորական հեռախո սի բաժանորդային վարձ (տարեկան) </t>
  </si>
  <si>
    <t xml:space="preserve">Փոքր ունակությամբ (PABX) հեռախոսակայան ներ շահագործող մարմին ների սովորական հեռախո սի բաժանորդային վարձ (տարեկան) </t>
  </si>
  <si>
    <t>Ընդամենը սովորական հեռախոսի բաժանորդային վարձ (տարեկան)</t>
  </si>
  <si>
    <t>քանակը</t>
  </si>
  <si>
    <t>(դրամ)</t>
  </si>
  <si>
    <t xml:space="preserve">տեղական ելից հեռախոսային խոսակցություններ </t>
  </si>
  <si>
    <t xml:space="preserve"> (րոպե)</t>
  </si>
  <si>
    <t>դրամ</t>
  </si>
  <si>
    <t xml:space="preserve">Ընդամենը հեռախոսային խոսակցություն ների համար սահմանվող ամսական վճար </t>
  </si>
  <si>
    <t xml:space="preserve">Հեռախոսային խոսակցություն ների տարեկան սահմանաչափ </t>
  </si>
  <si>
    <t>Փոստային կապի ծառայություններ</t>
  </si>
  <si>
    <t>Ընդամենը կապի ծառայությունների վճարներ (տարեկան)</t>
  </si>
  <si>
    <t>Հաստիքը  կամ  ստորաբաժանումը</t>
  </si>
  <si>
    <t>Պետական մարմին - ընդամենը աշխատողների թիվը</t>
  </si>
  <si>
    <t>Ղեկավար</t>
  </si>
  <si>
    <t>Ղեկավարի տեղակալ /անդամներ/</t>
  </si>
  <si>
    <t>Ղեկավարի խորհրդական</t>
  </si>
  <si>
    <t>Ղեկավարի օգնական</t>
  </si>
  <si>
    <t>Ղեկավարի մամուլի քարտուղար</t>
  </si>
  <si>
    <t>Աշխատակազմի ղեկավար</t>
  </si>
  <si>
    <t>Աշխատակազմի ղեկավարի տեղակալ</t>
  </si>
  <si>
    <t>Աշխատակազմի առանձնացված ստորաբաժանման ղեկավար</t>
  </si>
  <si>
    <t>Աշխատակազմի առանձնացված ստորաբաժանման տարածքային մարմնի ղեկավար</t>
  </si>
  <si>
    <t>Աշխատակազմի առանձնացված ստորաբաժանում</t>
  </si>
  <si>
    <t>Աշխատակազմի առանձնացված ստորաբաժանման տարածքային մարմին</t>
  </si>
  <si>
    <t>Աշխատակազմի կառուցվածքային ստորաբաժանման ղեկավար</t>
  </si>
  <si>
    <t>Աշխատակազմի արտաքին կապերի վարչություն</t>
  </si>
  <si>
    <t>Աշխատակազմի վարչություն /քարտուղարություն/</t>
  </si>
  <si>
    <t>Աշխատակազմի ինքնուրույն բաժին</t>
  </si>
  <si>
    <t>Աշխատակազմի քարտուղարություն</t>
  </si>
  <si>
    <t>Տեխնիկական սպասարկում իրականացնող անձնակազմ</t>
  </si>
  <si>
    <t>Յուրաքանչյուր 4 կամ 5 միավորի համար մեկական հեռախոսագիծ (բացառությամբ տեխնիկական սպասարկողների)</t>
  </si>
  <si>
    <t>Ընդամենը</t>
  </si>
  <si>
    <t>հ/հ</t>
  </si>
  <si>
    <t>Ձև N 7</t>
  </si>
  <si>
    <t>Ինտերնետ</t>
  </si>
  <si>
    <t>Համակար     գիչների քանակը  (հատ)</t>
  </si>
  <si>
    <t xml:space="preserve">Հզորությունը </t>
  </si>
  <si>
    <t>Շահագործ  ման ժամերի տարեկան քանակը</t>
  </si>
  <si>
    <t>Շենքերի և շինություն ների մակերեսը (քառ/մետր)</t>
  </si>
  <si>
    <t>Տարեկան ծախսի նորմը (կվտ.ժ)</t>
  </si>
  <si>
    <t>Ընդամենը  տարեկան ծախսի նորմը (կվտ.ժ)</t>
  </si>
  <si>
    <t>Ընդամենը էլեկտրաէներ  գիայի ծախս               (հազ. դրամ)</t>
  </si>
  <si>
    <t xml:space="preserve"> Այլ հատուկ սարքեր /վերելակներ, ներքին հեռախոսակայաններ, արտաքին լուսավորություն և այլն/</t>
  </si>
  <si>
    <t>Լուսավորության և կենցաղային սարքերի ծախսի, առանց օդի լավորակման դեպքում` շենքերի և շինությունների 1 քառ/մետր մակերեսի համար</t>
  </si>
  <si>
    <t>Համակարգիչների` 1 հատի համար, որը ներառում է տպիչ սարքերի և այլ կազմտեխնիկայի ծախսը, 8-ժամյա աշխատանքային օրվա համար</t>
  </si>
  <si>
    <t>այդ թվում`</t>
  </si>
  <si>
    <t>Ձև N 9</t>
  </si>
  <si>
    <t>Բնակավայրը</t>
  </si>
  <si>
    <t>այդ թվում` զբաղեցրած տարածքի ծավալը (խոր. մետր)</t>
  </si>
  <si>
    <t xml:space="preserve">քար </t>
  </si>
  <si>
    <t>Ձև N 10</t>
  </si>
  <si>
    <t>Շենքի տեսակը  (քար / պանելային,  միաձույլ)</t>
  </si>
  <si>
    <t xml:space="preserve">Շենքի ընդհանուր ծավալը (խոր/մետր) հաշվարկված արտաքին չափերով </t>
  </si>
  <si>
    <t>Ջերմային էներգիայի տարեկան ծախսի նորմը                   (Գկալ/ խոր.մետր)</t>
  </si>
  <si>
    <t>Ընդամենը  տարեկան ծախսի նորմը (Գկալ/ խոր.մետր)</t>
  </si>
  <si>
    <t xml:space="preserve"> Բնական գազով աշխատող կաթսաներ (խոր/մետր)</t>
  </si>
  <si>
    <t>Բնական գազով աշխատող անհատական ջեռուցիչ սարքեր, վառարաններ</t>
  </si>
  <si>
    <t>Հեղուկ վառելիք անհատական ջեռուցիչ սարքերի, վառարանների համար (կգ)</t>
  </si>
  <si>
    <t>Ընդամենը  տարեկան ծախս          (Գկալ/ խոր.մետր)</t>
  </si>
  <si>
    <t>Սակագինը (հազ. դրամ)</t>
  </si>
  <si>
    <t>Ընդամենը ջեռուցման  ծախս                        (հազ. դրամ)</t>
  </si>
  <si>
    <t>պանելային,  միաձույլ</t>
  </si>
  <si>
    <t>ՀՀ կառավարության 2005 թվականի ապրիլի 28-ի N 629-Ն որոշման պահանջներին համապատասխան:</t>
  </si>
  <si>
    <t>N 1,2 և 3 ձևերը լրացվում են`</t>
  </si>
  <si>
    <t>Ձև N 11</t>
  </si>
  <si>
    <t>Տ Ե Ղ Ե Կ Ա Ն Ք</t>
  </si>
  <si>
    <t xml:space="preserve">գործուղման ծախսերի հաշվարկման վերաբերյալ </t>
  </si>
  <si>
    <t xml:space="preserve">հազ. դրամ </t>
  </si>
  <si>
    <t>Գործուղման վայրեր</t>
  </si>
  <si>
    <t>Գործուղման տևողությունը</t>
  </si>
  <si>
    <t>Գործուղման մեկնողների թիվը</t>
  </si>
  <si>
    <t>Օրապահիկ</t>
  </si>
  <si>
    <t>Վճարը 1 օրվա համար</t>
  </si>
  <si>
    <t>Ճանապարհածախսը  1 անձի համար մեկ ուղղությամբ</t>
  </si>
  <si>
    <t>Ընդամենը ծախսեր</t>
  </si>
  <si>
    <t>Գիշերավարձ</t>
  </si>
  <si>
    <t>Ճանապարհածախս              1 անձի համար մեկ ուղղությամբ</t>
  </si>
  <si>
    <t xml:space="preserve">Ծախսերի տարբերու թյունը             </t>
  </si>
  <si>
    <t>Ձև N 12</t>
  </si>
  <si>
    <t>Ավտոմեքենայի  մակնիշը</t>
  </si>
  <si>
    <t>Թողարկման տարեթիվը</t>
  </si>
  <si>
    <t>Ձեռքբերման արժեքը   /հազ.դրամ/</t>
  </si>
  <si>
    <t>Հաշվեկշռային (մնացոր դային)  արժեքը /հազ.դրամ/</t>
  </si>
  <si>
    <t>Քանակը</t>
  </si>
  <si>
    <t>Մեկ միավորի գինը     /հազ.  դրամ/</t>
  </si>
  <si>
    <t>Ընդամենը ծախսեր /հազ.  դրամ/</t>
  </si>
  <si>
    <t xml:space="preserve">Այդ թվում` </t>
  </si>
  <si>
    <t>Չափի միավորը</t>
  </si>
  <si>
    <t>Ձեռքբեր ման  տարեթիվը</t>
  </si>
  <si>
    <t>Սկզբնական արժեքը   /հազ.դրամ/</t>
  </si>
  <si>
    <t xml:space="preserve">ՙ'Հայաստանի Հանրապետության պետական մարմինների գծով Հայաստանի Հանրապետության պետական բյուջեի նախագծում բյուջետային ծախսերի առանձին տեսակների` ջեռուցման, վառելիքի և էլեկտրաէներգիայի ձեռք բերման ծավալների հաշվարկման հիմքում դրվող նորմաները հաստատելու մասին՚ </t>
  </si>
  <si>
    <t>Ձև N 15</t>
  </si>
  <si>
    <t>Կառուցվածքային ստորաբաժանումների անվանումը</t>
  </si>
  <si>
    <t>Հաստիքային միավորների թիվը</t>
  </si>
  <si>
    <t xml:space="preserve">Վարչություններ </t>
  </si>
  <si>
    <t>Բաժիններ</t>
  </si>
  <si>
    <t xml:space="preserve">  4111</t>
  </si>
  <si>
    <t xml:space="preserve">  4112</t>
  </si>
  <si>
    <t>4113</t>
  </si>
  <si>
    <t>Շենքերի պահպանման ծառայություններ /դեռատիզացիա/</t>
  </si>
  <si>
    <t>աղբահանություն</t>
  </si>
  <si>
    <t>այլ</t>
  </si>
  <si>
    <t>ավտոմեքենաների տեխզննություն և բնապահպանական վճար</t>
  </si>
  <si>
    <t>Ընթացիկ սուբվենցիաներ համայնքներին</t>
  </si>
  <si>
    <t>Հաստիքային  միավորների  թիվը</t>
  </si>
  <si>
    <t>Էլեկտրաէներգիայով ջեռուցման ծառայություններ</t>
  </si>
  <si>
    <t xml:space="preserve">Հիմնավորումներ 8-րդ սյունակում ներկայացված փոփոխությունների վերաբերյալ  </t>
  </si>
  <si>
    <t xml:space="preserve">միջազգային ելից հեռախոսային  խոսակցություններ, այդ թվում` ֆաքսի միլային  միջազգային հաղորդագրություններ </t>
  </si>
  <si>
    <t xml:space="preserve">միջքաղաքային և դեպի բջջային ցանց ելից հեռախոսային խոսակցություններ, այդ թվում` ֆաքսիմիլային  միջքաղաքային հաղորդագրություններ </t>
  </si>
  <si>
    <r>
      <t xml:space="preserve">Ում է սպասարկում /նշել զբաղեցրած պաշտոնը/ </t>
    </r>
    <r>
      <rPr>
        <b/>
        <i/>
        <sz val="10"/>
        <color indexed="10"/>
        <rFont val="GHEA Grapalat"/>
        <family val="3"/>
      </rPr>
      <t>ենթակա է պարտադիր լրացման</t>
    </r>
  </si>
  <si>
    <t>…</t>
  </si>
  <si>
    <t>Բաժանորդային վարձի սակագինը ըստ կապի օպերատորի հետ կնքված պայմանագրի (ՀՀ դրամով` առանց ԱԱՀ-ի)</t>
  </si>
  <si>
    <t>Տրանսպորտային նյութեր</t>
  </si>
  <si>
    <t xml:space="preserve">Գյուղատնտեսական ապրանքներ </t>
  </si>
  <si>
    <t xml:space="preserve">Կենցաղային և հանրային սննդի նյութեր </t>
  </si>
  <si>
    <t>Ց Ա Ն Կ</t>
  </si>
  <si>
    <t xml:space="preserve">ՀՀ պետական մարմինների ծառայողական ավտոմեքենաների վերաբերյալ   </t>
  </si>
  <si>
    <t>ՀՀ պետական մարմինների տեխնիկայի միջոցների և գրասենյակային գույքի վերաբերյալ</t>
  </si>
  <si>
    <t>Պետական մարմնի կառուցվածքի և աշխատողների թվի վերաբերյալ</t>
  </si>
  <si>
    <t xml:space="preserve">Հայեցողական պաշտոններ </t>
  </si>
  <si>
    <t>Տեխնիկական սպասարկում իրականացնող և քաղաքացիական աշխատանք կատարող անձնակազմ</t>
  </si>
  <si>
    <t>IV</t>
  </si>
  <si>
    <t xml:space="preserve">Ընդամենը աշխատողների թվաքանակը </t>
  </si>
  <si>
    <t>Նշել մարմնի կառուցվածքը  հաստատող  համապատասխան իրավական ակտի տարեթիվը և համարը</t>
  </si>
  <si>
    <t xml:space="preserve"> /հազ. դրամ/</t>
  </si>
  <si>
    <t>Ընդամենը՝</t>
  </si>
  <si>
    <t>Ընթացիկ դրամաշնորհներ պետական կառավարման հատվածին</t>
  </si>
  <si>
    <t>Աշխատակազմի մասնագիտական զարգացման ծառայություններ</t>
  </si>
  <si>
    <t>4639</t>
  </si>
  <si>
    <t>Այլ ընթացիկ դրամաշնորհներ</t>
  </si>
  <si>
    <t>Բյուջետային ծախսերի տնտ. դասակարգման հոդվածի անվանումը</t>
  </si>
  <si>
    <t>այդ  թվում՝</t>
  </si>
  <si>
    <t xml:space="preserve">  փաստացի  կատարո ղական</t>
  </si>
  <si>
    <t>Գազով ջեռուցման ծառայություններ</t>
  </si>
  <si>
    <t>Բյուջետային ծախսերի տնտեսագիտական դասակարգման հոդվածի անվանումը</t>
  </si>
  <si>
    <t>Կապի այլ ծառայություններ</t>
  </si>
  <si>
    <t>(ս.4 x բաժանորդային վարձ (առանց ԱԱՀ) x 12ամիս) դրամ</t>
  </si>
  <si>
    <r>
      <t xml:space="preserve">ԸՆԴԱՄԵՆԸ                        (ներառյալ՝ </t>
    </r>
    <r>
      <rPr>
        <i/>
        <sz val="10"/>
        <rFont val="GHEA Grapalat"/>
        <family val="3"/>
      </rPr>
      <t>ԱԱՀ-ն)</t>
    </r>
  </si>
  <si>
    <t>համաձայն ՀՀ կառավարության 2005 թվականի փետրվարի 17-ի N 194-Ն որոշմամբ հաստատված կարգի</t>
  </si>
  <si>
    <t>Առկա մեքենաներ</t>
  </si>
  <si>
    <t>հոդվածի կոդը</t>
  </si>
  <si>
    <t>Ձև N 3</t>
  </si>
  <si>
    <t xml:space="preserve">Ձև N  4 </t>
  </si>
  <si>
    <t>լրացնել ապրանքի կամ ծառայության նկարագրությունը</t>
  </si>
  <si>
    <t>Ծառայողական գործուղումների գծով ծախսեր</t>
  </si>
  <si>
    <t>4824</t>
  </si>
  <si>
    <t>Առողջապահական և լաբորատոր նյութեր</t>
  </si>
  <si>
    <t>Բաժին</t>
  </si>
  <si>
    <t>խումբ</t>
  </si>
  <si>
    <t>դաս</t>
  </si>
  <si>
    <t xml:space="preserve"> Ծրագրային դասիչը</t>
  </si>
  <si>
    <t xml:space="preserve"> Ծրագիր</t>
  </si>
  <si>
    <t xml:space="preserve"> Միջոցառում</t>
  </si>
  <si>
    <t xml:space="preserve"> այդ թվում`</t>
  </si>
  <si>
    <t xml:space="preserve">Ընդհանուր գումարը            </t>
  </si>
  <si>
    <t>Պետական հատվածի տարբեր մակարդակների կողմից միմյանց նկատմամբ կիրառվող տույժեր</t>
  </si>
  <si>
    <t xml:space="preserve">Կառուցվածքային ստորաբաժանումներ՝  </t>
  </si>
  <si>
    <t xml:space="preserve">այդ թվում` </t>
  </si>
  <si>
    <t>Հիմնական մասնագիտական կառուցվածքային ստորաբաժանումներ</t>
  </si>
  <si>
    <t>1)</t>
  </si>
  <si>
    <t xml:space="preserve">Ղեկավար պաշտոններ </t>
  </si>
  <si>
    <t xml:space="preserve"> Բյուջետային հատկացումների ծրագրերի և միջոցառումների անվանումները</t>
  </si>
  <si>
    <r>
      <t>ԱՇԽԱՏԱՆՔԻ  ՎԱՐՁԱՏՐՈՒԹՅՈՒՆ</t>
    </r>
    <r>
      <rPr>
        <b/>
        <sz val="12"/>
        <color indexed="10"/>
        <rFont val="GHEA Grapalat"/>
        <family val="3"/>
      </rPr>
      <t xml:space="preserve">  </t>
    </r>
  </si>
  <si>
    <t>Լուսավորության և կենցաղային սարքերի ծախսի, օդի լավորակման դեպքում` շենքերի և շինությունների 1քառ/մետր մակերեսի համար</t>
  </si>
  <si>
    <t xml:space="preserve">Ծրագրի վրա կատարվող ծախսը </t>
  </si>
  <si>
    <t>(հազար դրամ)</t>
  </si>
  <si>
    <t xml:space="preserve">Միջոցառման վրա կատարվող ծախսը - ընթացիկ ծախսեր </t>
  </si>
  <si>
    <r>
      <t xml:space="preserve">Միջոցառման վրա կատարվող ծախսը - ոչ ֆինանսական ակտիվների գծով ծախսեր </t>
    </r>
    <r>
      <rPr>
        <sz val="10"/>
        <rFont val="GHEA Grapalat"/>
        <family val="3"/>
      </rPr>
      <t>(Վարչական  սարքավորումներ)</t>
    </r>
  </si>
  <si>
    <t>Գործուղման նպատակը</t>
  </si>
  <si>
    <t>4637</t>
  </si>
  <si>
    <t>Ընթացիկ դրամաշնորհներ պետական և համայնքների ոչ առևտրային կազմակերպություններին</t>
  </si>
  <si>
    <t xml:space="preserve">Աճեցվող ակտիվներ </t>
  </si>
  <si>
    <t xml:space="preserve"> Ընթացիկ դրամաշնորհներ պետական և համայնքային առևտրային կազմակերպություններին</t>
  </si>
  <si>
    <t>2021թ.</t>
  </si>
  <si>
    <t>2022թ.</t>
  </si>
  <si>
    <t>2023թ.</t>
  </si>
  <si>
    <t>2023թ. բյուջետային  հայտ</t>
  </si>
  <si>
    <t>2024թ. բյուջետային  հայտ</t>
  </si>
  <si>
    <t>2024թ.</t>
  </si>
  <si>
    <t>4655</t>
  </si>
  <si>
    <t>Կապիտալ դրամաշնորհներ պետական և համայնքային ոչ առևտրային կազմակերպություններին</t>
  </si>
  <si>
    <t xml:space="preserve">Դատարանների կողմից նշանակված տույժեր ու տուգանքներ </t>
  </si>
  <si>
    <t xml:space="preserve">Կառավարման մարմինների գործունեության հետևանքով առաջացած վնասվածքների  կամ վնասների վերականգնում </t>
  </si>
  <si>
    <t>2021թ.  փաստացի  կատարողական</t>
  </si>
  <si>
    <t xml:space="preserve"> 2022թ. հաստատված բյուջե</t>
  </si>
  <si>
    <t>2025թ. բյուջետային  հայտ</t>
  </si>
  <si>
    <t>2025թ.</t>
  </si>
  <si>
    <t>հայտի տարբերությունը 2022թ. հաստատվածի նկատմամբ</t>
  </si>
  <si>
    <t>հայտի տարբերությունը 2021թ. փաստացի կատարողականի նկատմամբ</t>
  </si>
  <si>
    <t>Տնտեսագիտական դասակարգման հոդվածների գծով 2023թ. ընթացքում նախատեսվող ծախսերը՝ ըստ ապրանքների և ծառայությունների տեսակների</t>
  </si>
  <si>
    <t>2022թ. հաստատված</t>
  </si>
  <si>
    <t>2023թ. բյուջետային հայտ</t>
  </si>
  <si>
    <t>2023թ. բյուջետային հայտի և  2022թ. հաստատվածի տարբերությունը</t>
  </si>
  <si>
    <t>ՀՀ  պետական  մարմինների 2023վականի  կապի ծառայությունների  վճարների</t>
  </si>
  <si>
    <t>ՀՀ  պետական  մարմինների 2023 թվականի էլեկտրաէներգիայի ծախսերի /բացառությամբ ջեռուցման/</t>
  </si>
  <si>
    <t>2023 թվականի ՀՀ  պետական մարմինների վարչական շենքերի և շինությունների գազով ջեռուցման համար անհրաժեշտ  ծախսերի</t>
  </si>
  <si>
    <t>2021թ. փաստացի</t>
  </si>
  <si>
    <t xml:space="preserve"> 2022թ. ընթացքում գնման ենթակա </t>
  </si>
  <si>
    <t>Շինության տարածքը (քառ մետր)</t>
  </si>
  <si>
    <t>Il. ԸՆԹԱՑԻԿ, ՄԻՋԻՆ ՆՈՐՈԳՄԱՆ, ԸՆԹԱՑԻԿ ՊԱՀՊԱՆՄԱՆ ԵՎ ՆԵՐՔԻՆ ՀԱՐԴԱՐՄԱՆ ԱՇԽԱՏԱՆՔՆԵՐԸ</t>
  </si>
  <si>
    <t xml:space="preserve">Տվյալ տարածքում կատարվելիք ընթացիկ նորոգման և պահպանման աշխատանքները,
հիմքը՝ ՀՀ կառավարության 2015թ. մարտի 19-ի N 596-Ն որոշման N 4 հավելվածի Ցանկ N 1           </t>
  </si>
  <si>
    <t>ՆԱԽԱՀԱՇՎԱՅԻՆ ԳԻՆԸ</t>
  </si>
  <si>
    <t>Պետական մարմնի ստորաբաժանման անվանումը, որի կողմից զբաղեցվում է համապատասխան տարածքը</t>
  </si>
  <si>
    <t xml:space="preserve">Տարածքը զբաղեցնելու իրավական հիմքը </t>
  </si>
  <si>
    <t>Զբաղեցվող շինության/տարածքի գտնվելու հասցեն</t>
  </si>
  <si>
    <t>Թերությունների ակտի և նախահաշվի առկայությունը (կցել առկայության դեպքում)*</t>
  </si>
  <si>
    <t>ՀՀ կառավարության 2015թ. մարտի 19-ի N 596-Ն որոշման N 4 հավելվածի Ցանկ N 1, կետ 2: 
2. Ընթացիկ նորոգման, ներքին հարդարման, ընթացիկ պահպանման և ընդհանուր օգտագործման տարածքներում բարեկարգման աշխատանքների կազմակերպման համար կարող է կատարվել շենքերի և շինությունների ուսումնասիրություն, կազմվել թերությունների մասին ակտ, աշխատանքների ցանկ և, անհրաժեշտության դեպքում, նախահաշիվ:</t>
  </si>
  <si>
    <t>Պետական մարմնի կողմից զբաղեցված շինությունների/տարածքների ընթացիկ նորոգման աշխատանքներ</t>
  </si>
  <si>
    <t>4115</t>
  </si>
  <si>
    <t>- Այլ վարձատրություն</t>
  </si>
  <si>
    <t>Մաշվածությունը (տարեկան 12%)*</t>
  </si>
  <si>
    <t>ՀՀ ֆինանսների նախարարի 2016թ. հունվարի 8-ի N 3-Ն հրամանի համաձայն մարդատար ավտոմեքենաների նորմատիվային օգտակար ծառայության ժամկետը սահմանված է 10 տարի</t>
  </si>
  <si>
    <t>Առկա դյուրակիր համակարգիչներ (լափթոփներ, նոութբուքեր). գրպանի ՊԴԱ (PDA) համակարգիչներ և համանման այլ համակարգչային սարքավորումներ), թիվը` ընդամենը</t>
  </si>
  <si>
    <t xml:space="preserve">Առկա համակարգիչների (ներառյալ` սեղանի (ստատիկ) համակարգիչների) թիվը` ընդամենը </t>
  </si>
  <si>
    <t>Մոնիտորներ և պրոյեկտորներ, թիվը` ընդամենը</t>
  </si>
  <si>
    <t>Տպիչ, համակարգչին կամ համակարգչային ցանցին միանալու հնարավորություն ունեցող պատճենահանող և ֆաքսիմիլային սարքեր,  թիվը` ընդամենը</t>
  </si>
  <si>
    <t>Նշված խմբում ընդգրկված այլ համակարգչային սարքեր, թիվը` ընդամենը</t>
  </si>
  <si>
    <t>Դաս</t>
  </si>
  <si>
    <t>Խումբ</t>
  </si>
  <si>
    <t>Տեսակ</t>
  </si>
  <si>
    <t>Օգտակար ծառայության ժամկետ</t>
  </si>
  <si>
    <t>(տարի)</t>
  </si>
  <si>
    <t>Գրասենյակային և տնտեսական գույք և պարագաներ, գործիքներ</t>
  </si>
  <si>
    <t>Համակարգիչներ (ներառյալ` սեղանի (ստատիկ) համակարգիչներ, դյուրակիր համակարգիչներ (լափթոփներ, նոութբուքեր). գրպանի ՊԴԱ (PDA) համակարգիչներ և համանման այլ համակարգչային սարքավորումներ)</t>
  </si>
  <si>
    <t>Համակարգչային սարքավորումներ և տեխնիկա (ներառյալ` մոնիտորներ և պրոյեկտորներ, օգտագործվող բացառապես տվյալների ավտոմատ մշակման համակարգերում, հիշող սարքեր, կիսահաղորդչային հիշող սարքեր, ապահովող տեղեկատվության պահպանումը հոսանքի անջատման դեպքում, տպիչ, համակարգչին կամ համակարգչային ցանցին միանալու հնարավորություն ունեցող պատճենահանող և ֆաքսիմիլային սարքեր` միավորված կամ չմիավորված և այլն)</t>
  </si>
  <si>
    <t>Այլ համակարգչային սարքավորումներ և տեխնիկա</t>
  </si>
  <si>
    <t>Հեռախոսներ (այդ թվում` բջջային), ռադիոհաղորդակցման սարքեր</t>
  </si>
  <si>
    <t>Համակարգչային սարքավորումներ/տեխնիկա</t>
  </si>
  <si>
    <t>Գրասենյակային և տնտեսական գույք</t>
  </si>
  <si>
    <t>Գրասենյակային էլեկտրական տեխնիկա (ներառյալ` հեռուստացույցներ, սառնարաններ, խմելու ջրի սարքեր, օդորակիչներ, տաքացուցիչներ, փոշեկուլներ, տեսախցիկներ, ֆոտոխցիկներ, տեղորոշիչ սարքեր (GPS) և այլն), այդ թվում՝</t>
  </si>
  <si>
    <t>Կահույք (ներառյալ` գրասեղաններ, սեղաններ, աթոռներ, բազկաթոռներ, փափուկ կահույք, զգեստապահարաններ, գրապահարաններ, գրադարակներ, չհրկիզվող պահարաններ և այլն), գորգեր, հայելիներ, այդ թվում՝</t>
  </si>
  <si>
    <t xml:space="preserve">Այլ գրասենյակային և տնտեսական գույք </t>
  </si>
  <si>
    <t>Հաշվեկշռային (մնացորդային)  արժեքը /հազ.դրամ/</t>
  </si>
  <si>
    <t>Մաշվածությունը (%)</t>
  </si>
  <si>
    <t>(ՀՀ ֆինանսների նախարարի 2016թ. հունվարի 8-ի «Հանրային հատվածի կազմակերպություններում նոր հիմնական միջոցների և սկզբնական արժեքով հաշվառվող կենսաբանական ակտիվների մաշվածության հաշվարկման նորմատիվային օգտակար ծառայության ժամկետները հաստատելու մասին» N 3-Ն հրաման, Հավելված 1)</t>
  </si>
  <si>
    <t>Առկա սարքավորումներ և գույք</t>
  </si>
  <si>
    <t>վերելակ</t>
  </si>
  <si>
    <t>հեռախոսակայան</t>
  </si>
  <si>
    <t>արտաքին լուսավորություն</t>
  </si>
  <si>
    <t>Վարչական պաշտոններ</t>
  </si>
  <si>
    <t>Կադրերի տեսուչ</t>
  </si>
  <si>
    <t>Ներքին աուդիտոր</t>
  </si>
  <si>
    <t>Իրավախորհրդատվական վարչություն</t>
  </si>
  <si>
    <t>Արձանագրային բաժին</t>
  </si>
  <si>
    <t>Տեղեկատվական և ծրագրային ապահովման բաժին</t>
  </si>
  <si>
    <t>Թարգմանչական և հրատարակչական բաժին</t>
  </si>
  <si>
    <t>Ընդհանուր բաժին</t>
  </si>
  <si>
    <t>Հաշվապահական հաշվառման և ֆինանսական բաժին</t>
  </si>
  <si>
    <t>հատուկ հեռախոսակապ</t>
  </si>
  <si>
    <t>հատ</t>
  </si>
  <si>
    <t>Դյուրակիր համակարգիչ</t>
  </si>
  <si>
    <t>Համակարգիչ Desktop PC</t>
  </si>
  <si>
    <t>Կոմպ Dell OptiPlex 755 Desktop</t>
  </si>
  <si>
    <t>Կոմպ LAPTOP Dell Latitude D531</t>
  </si>
  <si>
    <t>Համակարգիչ Core 2Duo 2.13Ghz/Gb</t>
  </si>
  <si>
    <t>Համակարգիչ CPU Core i</t>
  </si>
  <si>
    <t>Համակարգիչ G620</t>
  </si>
  <si>
    <t>Համակարգիչ i3 2120 CO</t>
  </si>
  <si>
    <t>Համակարգիչ i3 2120 CP</t>
  </si>
  <si>
    <t>Համակարգիչ Intel Core</t>
  </si>
  <si>
    <t>Համակարգիչ i3,2130 CP</t>
  </si>
  <si>
    <t>Համակարգիչ P4</t>
  </si>
  <si>
    <t>Համակարգիչ P-4 500GB</t>
  </si>
  <si>
    <t>Համակարգիչ ԻՆՏԵՐ ՔՈՐԵ</t>
  </si>
  <si>
    <t>Համակարգիչ նիստ. ձայնագրմ. համակ</t>
  </si>
  <si>
    <t>ՍԵՐՎԵՐ Dell PowerEdge 840</t>
  </si>
  <si>
    <t>ՀՀ Սահմանադրական դատարան</t>
  </si>
  <si>
    <t>գազով ջեռուցման ծառայություններ</t>
  </si>
  <si>
    <t>ջրի բաշխման ծառայություններ</t>
  </si>
  <si>
    <t>ախտահանման և միջատ. ծառ</t>
  </si>
  <si>
    <t>տեղային հեռախոսային ծառ</t>
  </si>
  <si>
    <t>բջջային հեռ ծառ</t>
  </si>
  <si>
    <t>փոստային ծառ</t>
  </si>
  <si>
    <t>ապահովագրական ծախսեր</t>
  </si>
  <si>
    <t>գրավոր թարգմանության ծառայություններ</t>
  </si>
  <si>
    <t>ծրագրային ապահովման սպասարկման ծառայություններ</t>
  </si>
  <si>
    <t>տեղեկատվական ցանցի սպասարկման ծառայություններ</t>
  </si>
  <si>
    <t>ծրագրային ապահովման հետ կապված  խորհրդատվական ծառայություններ</t>
  </si>
  <si>
    <t>տվյալների տրամադրման ծառայություններ</t>
  </si>
  <si>
    <t>թերթեր</t>
  </si>
  <si>
    <t>այլ պոլիգրաֆիական արտադրանքի տպագրման ծառայություններ</t>
  </si>
  <si>
    <t>գրքի կազմման և վերջնամշակմա նծառայություններ</t>
  </si>
  <si>
    <t>կենցաղային ծառայություններ</t>
  </si>
  <si>
    <t>ներկայացուցչական ծախսեր</t>
  </si>
  <si>
    <t>ներկայացուցչական ծառայություններ</t>
  </si>
  <si>
    <t>մասնագիտական ծառայություններ</t>
  </si>
  <si>
    <t>մասնագիտացված կազմակերպությունների կողմից մատուցվող ծառայություններ</t>
  </si>
  <si>
    <t>գազասպառմ, համակարգի տեխ, սպասարկմանն ծառայություններ</t>
  </si>
  <si>
    <t>շենքերի,շինությունների ընթ նորոգում</t>
  </si>
  <si>
    <t>շենքի ընթ նորոգում և պահպանում</t>
  </si>
  <si>
    <t>մեքենաների և սարք. ընթացիկ նորոգում և պահպանում</t>
  </si>
  <si>
    <t>ավտոմեքենաների վերանորոգման ծառայություններ</t>
  </si>
  <si>
    <t>գրասենյակային սարքերի պահպ, և վերանորոգման ծառայութ,</t>
  </si>
  <si>
    <t>գրասենյակային նյութեր և հագուստ</t>
  </si>
  <si>
    <t>շտրիխներ</t>
  </si>
  <si>
    <t>գրենական պարագաներ</t>
  </si>
  <si>
    <t>կարիչի մետաղական կապեր</t>
  </si>
  <si>
    <t>թղթապանակ</t>
  </si>
  <si>
    <t xml:space="preserve">կարիչ </t>
  </si>
  <si>
    <t>տոներային քարտրիջներ</t>
  </si>
  <si>
    <t>տոներ լազերային տպիչների</t>
  </si>
  <si>
    <t>Արտադրական հատուկ հագուստ</t>
  </si>
  <si>
    <t>թուղթ A4 ֆորմատի</t>
  </si>
  <si>
    <t>նամակի ծրար Ա6 ձևաչափի</t>
  </si>
  <si>
    <t>գրիչ գնդիկավոր</t>
  </si>
  <si>
    <t>գրիչ գելային</t>
  </si>
  <si>
    <t>տրանսպորտային նյութեր</t>
  </si>
  <si>
    <t>բենզին պրեմիում</t>
  </si>
  <si>
    <t>շարժիչի յուղ, կիսասինթետիկ</t>
  </si>
  <si>
    <t>շարժիչի յուղ, սինթետիկ</t>
  </si>
  <si>
    <t>հակասառեցուցիչ նյութեր</t>
  </si>
  <si>
    <t>զանազան պահեստամասեր</t>
  </si>
  <si>
    <t>կենցաղային և հանրային սննդի նյութեր</t>
  </si>
  <si>
    <t>տնտեսող լամպեր</t>
  </si>
  <si>
    <t>զուգարանի թուղթ, ռուլոնով</t>
  </si>
  <si>
    <t>մաքրող մածուկներ, փոշիներ</t>
  </si>
  <si>
    <t>հեղուկ օճառ</t>
  </si>
  <si>
    <t>անձեռոցիկ</t>
  </si>
  <si>
    <t>ձեռքի թղթե սրբիչ</t>
  </si>
  <si>
    <t>կահույք մաքրելու լաթ</t>
  </si>
  <si>
    <t>հատակի լվացման լաթ</t>
  </si>
  <si>
    <t>ավել սովորական</t>
  </si>
  <si>
    <t>աշխատանքային ձեռնոցներ</t>
  </si>
  <si>
    <t>պոլիէթիլենային պարկ,աղբի համար</t>
  </si>
  <si>
    <t>վարչական սարքավորումներ</t>
  </si>
  <si>
    <t>Հայտատուի  անվանումը   Սահմանադրական դատարան</t>
  </si>
  <si>
    <t>Սահմանադրական դատարան</t>
  </si>
  <si>
    <t>Սահմանադրական դատարանի գործունեության և արդարադատության ապահովում</t>
  </si>
  <si>
    <t>ՀՀ սահմանադրական դատարան</t>
  </si>
  <si>
    <t>ՍԴ նախագահ</t>
  </si>
  <si>
    <t>ՍԴ դատավորներ</t>
  </si>
  <si>
    <t>ՍԴ աշխատակազմի ղեկավար</t>
  </si>
  <si>
    <t>ՍԴ նախագահի խորհրդական</t>
  </si>
  <si>
    <t>ՍԴ նախագահի օգնական</t>
  </si>
  <si>
    <t>ՍԴ մամուլի քարտուղար</t>
  </si>
  <si>
    <t>ՍԴ դատավորի օգնական</t>
  </si>
  <si>
    <t xml:space="preserve">Քաղաքացիական ծառայության պաշտոններ </t>
  </si>
  <si>
    <t>ՍԴ աշխատակազմի ղեկավարի տեղակալ</t>
  </si>
  <si>
    <t>ՍԴ աշխատակազմի ղեկավարի օգնական</t>
  </si>
  <si>
    <t>ՀՀ սահմանադրական դատարան.տեղեկագիր պարբերականի խմբագիր</t>
  </si>
  <si>
    <t>ՍԴ նիստերի ապահովման պատասխանատու</t>
  </si>
  <si>
    <t>Տպագիր տեղեկատվության ապահովման պատասխանատու</t>
  </si>
  <si>
    <t>Փաստաթղթային ապահովման մասնագետ</t>
  </si>
  <si>
    <t>Հաստիքացուցակ 01.02.2022 ՍԴ նախագահի ՍԴՆՈ-8 որոշում</t>
  </si>
  <si>
    <t>Անխ.սն.սարք Mercury Elete650PRO</t>
  </si>
  <si>
    <t>ՄՈՆԻՏՈՐ DELL15</t>
  </si>
  <si>
    <t>Մոնիտոր Samsung 793s CRT</t>
  </si>
  <si>
    <t>Մոնիտոր LCD 17</t>
  </si>
  <si>
    <t>Մոնիտոր Beng E700LCD</t>
  </si>
  <si>
    <t>Մոնիտոր DELL Euro-19in</t>
  </si>
  <si>
    <t>Մոնիտոր DELL E178FP-Value 17</t>
  </si>
  <si>
    <t>Մոիտոր/LCD/ AOC18.5 LED</t>
  </si>
  <si>
    <t>Մոնիտոր Acer LCD 18.5</t>
  </si>
  <si>
    <t>Մոնիտոր HP L1908w</t>
  </si>
  <si>
    <t>Մոնիտոր LCD 19Asus VH</t>
  </si>
  <si>
    <t>Մոնիտոր LG</t>
  </si>
  <si>
    <t>Լազերայի տպիչ HPLJ 1020</t>
  </si>
  <si>
    <t>ՊԱՏՃԵՆԱՀԱՆ ՄԵՔԵՆԱ XEROX XC-355</t>
  </si>
  <si>
    <t>Պատճենահանն մեք. Canon iR 2870</t>
  </si>
  <si>
    <t>Պրինտեր  HP LJ P2015 X</t>
  </si>
  <si>
    <t>ՊՐԻՆՏԵՐ HP Laserjet1100</t>
  </si>
  <si>
    <t>Պրինտեր HP Lazer jetPr</t>
  </si>
  <si>
    <t>Պրինտեր HP LJ 1018 /CB419A</t>
  </si>
  <si>
    <t>Պրինտեր գունավոր HP L</t>
  </si>
  <si>
    <t>Տպիչ Canon LBP6030</t>
  </si>
  <si>
    <t>Տպիչ HP Lazerjet 1010 12ppm</t>
  </si>
  <si>
    <t>Տպիչ HP LJ 1018</t>
  </si>
  <si>
    <t>ՏՊԻՉ ԱՍԵՂԱՅԻՆ ԷՊՍՈՆ -100</t>
  </si>
  <si>
    <t>ՔՍԵՐՈՔՍ ,,Գեսետներ 2627</t>
  </si>
  <si>
    <t>Ակտիվ դինամիկ-4հատ,MAX-BEHRINGE</t>
  </si>
  <si>
    <t>Անխափան սնուցման սարք</t>
  </si>
  <si>
    <t>Անխափան սնուցման սարք APC 1500</t>
  </si>
  <si>
    <t>Անխափան սնուցման սարք APC1500VA</t>
  </si>
  <si>
    <t>Անխափան սնուցման սարք Maxma 850VA</t>
  </si>
  <si>
    <t>ԱՎՏՈՄԱՏ ԼԻՑՔ. ՍԱՐՔ ՈՒՊՍ-400</t>
  </si>
  <si>
    <t>Արտաքին հիշողության կրիչ /1 տեռաբայթ/</t>
  </si>
  <si>
    <t>Բազմաֆունկց. սարք/Cenon -MF4730</t>
  </si>
  <si>
    <t>Բազմաֆունկց. տպիչ HP LJ M1132</t>
  </si>
  <si>
    <t>Բազմաֆունկց. տպիչ սաք Canon 2535</t>
  </si>
  <si>
    <t>Բազմաֆունկցիոնալ սարք</t>
  </si>
  <si>
    <t>Ընդունող-հսկող սարք</t>
  </si>
  <si>
    <t>ԻԴԵՆՏԻՖԻԿԱՑԻԱՅԻ ՀԱՄԱԿԱՐԳ</t>
  </si>
  <si>
    <t>ԻՆՏԵՐՖԵՅՍ Ա3/Բ4</t>
  </si>
  <si>
    <t>ԿՈՄԲՈ  /ԿԱԶՄ. ՍԱՐՔ/</t>
  </si>
  <si>
    <t>Կոնֆեր. բարձրախոս-12 հատ AR-558</t>
  </si>
  <si>
    <t>Միքշերային վահանակ/18 մուտքանի/</t>
  </si>
  <si>
    <t>Մուլտիմեդիա Mitsubishi XD470SU</t>
  </si>
  <si>
    <t>ՊԳԿԿ հաշվիչ հանգույցով GSA 40</t>
  </si>
  <si>
    <t>ՌԱԴԻՈՄՈԴԵՄ ԱՆՏԵՆԱ</t>
  </si>
  <si>
    <t>ՏԵՐՄՈ-310  /կազմ. սարք/</t>
  </si>
  <si>
    <t>ՏԻՐԱԺԻ ԲԱԺԱՆԻՉ</t>
  </si>
  <si>
    <t>ՏՊ. ՄԵՔԵՆԱ ՍՊ-1290</t>
  </si>
  <si>
    <t>ՑԱՆՑԱՅԻՆ ՌԱԴԻՈՔԱՐՏ ARLAN655</t>
  </si>
  <si>
    <t>ՒԴԵԱԼ-3905  ԳԻԼՈՏԻՆԱ</t>
  </si>
  <si>
    <t>ԱԹՈՌ NIKE P306-TB9</t>
  </si>
  <si>
    <t>Աթոռ անշարժ</t>
  </si>
  <si>
    <t>Աթոռ գրասենյակային</t>
  </si>
  <si>
    <t>ԱԹՈՌ ԳՐԱՍԵՆՅԱԿԻ MOONDB3OGTB9</t>
  </si>
  <si>
    <t>ԱԹՈՌ ԳՐԱՍԵՆՅԱԿԻ S40SG43GTB9</t>
  </si>
  <si>
    <t>ԱԹՈՌ ՆԻՍՏԻ ՄԱՍՆԱԿԻՑՆԵՐԻ</t>
  </si>
  <si>
    <t>Աթոռ, սև մետաղական</t>
  </si>
  <si>
    <t>Անկյունային գրապահարան</t>
  </si>
  <si>
    <t>Բազկաթոռ</t>
  </si>
  <si>
    <t>ԲԱԶԿԱԹՈՌ ,,ՍՈՒՊԵՐ,,  ԴԱՀԼԻՃԻ</t>
  </si>
  <si>
    <t>ԲԱԶԿԱԹՈՌ ԳՐԱՍԵՆՅԱԿԱՅԻՆ</t>
  </si>
  <si>
    <t>ԲԱԶԿԱԹՈՌ ԽՈԼԻ</t>
  </si>
  <si>
    <t>ԲԱԶԿԱԹՈՌ ԿԱՇՎԵ /ՍԵՎ ԳՈՒՅՆԻ/</t>
  </si>
  <si>
    <t>Բազկաթոռ ղեկավարի</t>
  </si>
  <si>
    <t>Բազկաթոռ մեծ</t>
  </si>
  <si>
    <t>Բազկաթոռ պտտվող</t>
  </si>
  <si>
    <t>ԲԱԶԿԱԹՈՌ ՍԴ ԱՆԴԱՄՆԵՐԻ</t>
  </si>
  <si>
    <t>ԲԱԶԿԱԹՈՌ ՍԴ ՆԱԽԱԳԱՀԻ</t>
  </si>
  <si>
    <t xml:space="preserve">Բազկաթոռներ   </t>
  </si>
  <si>
    <t>Բազմոց</t>
  </si>
  <si>
    <t>ԲԱԶՄՈՑ LORYP401PE1</t>
  </si>
  <si>
    <t>ԲԱԶՄՈՑ NIKE D308T-TB9</t>
  </si>
  <si>
    <t>ԲԱԶՄՈՑ ԽՈԼԻ</t>
  </si>
  <si>
    <t>Բազմոց մեծ</t>
  </si>
  <si>
    <t>Բազմոց փոքր</t>
  </si>
  <si>
    <t>ԳՈՐԳ  1,5*2,5</t>
  </si>
  <si>
    <t>ԳՈՐԳ  2*4</t>
  </si>
  <si>
    <t>Գորգ 2x3</t>
  </si>
  <si>
    <t>ԳՈՐԳ ՊԱՐՍԿԱԿԱՆ</t>
  </si>
  <si>
    <t>Գրապահարան</t>
  </si>
  <si>
    <t>ԳՐԱՊԱՀԱՐԱՆ</t>
  </si>
  <si>
    <t>Գրապահարան  80*180*42</t>
  </si>
  <si>
    <t>ԳՐԱՊԱՀԱՐԱՆ /ՊԱՐՍԿԱԿԱՆ</t>
  </si>
  <si>
    <t>ԳՐԱՊԱՀԱՐԱՆ /ՊԱՐՍԿԱԿԱՆ/</t>
  </si>
  <si>
    <t>Գրապահարան գրասենյակային</t>
  </si>
  <si>
    <t>Գրապահարան դարակներով</t>
  </si>
  <si>
    <t>Գրապահարան փակ  / 180*80*40 /</t>
  </si>
  <si>
    <t>Գրասեղան</t>
  </si>
  <si>
    <t>Գրասեղան  / 140*70 /</t>
  </si>
  <si>
    <t>Գրասեղան  130*60</t>
  </si>
  <si>
    <t>Գրասեղան դարակներով</t>
  </si>
  <si>
    <t>ԳՐԱՍԵՂԱՆ ԵՐԿԹՄԲ. /ՊԱՐՍԿԱԿԱՆ/</t>
  </si>
  <si>
    <t>Գրասեղան ղեկավարի</t>
  </si>
  <si>
    <t>Գրասեղան մեծ</t>
  </si>
  <si>
    <t>Գրասեղան, միակողմանի դարակաշարով</t>
  </si>
  <si>
    <t>Գրասենյակային կահույք</t>
  </si>
  <si>
    <t>Դարակաշար</t>
  </si>
  <si>
    <t>Դիմադիր սեղան</t>
  </si>
  <si>
    <t>Երկաթյա պահարան</t>
  </si>
  <si>
    <t>ԶԳԵՍՏԱՊԱՀԱՐԱՆ</t>
  </si>
  <si>
    <t xml:space="preserve">Զգեստապահարան  / 210*80*52 </t>
  </si>
  <si>
    <t>Զգեստապահարան  80*180*42</t>
  </si>
  <si>
    <t>Լրագրասեղան</t>
  </si>
  <si>
    <t>Կաբինետ</t>
  </si>
  <si>
    <t>ԿԱԽԻՉ</t>
  </si>
  <si>
    <t>ԿԱԽԻՉ ,,ԱՆԴՈ,,</t>
  </si>
  <si>
    <t>Կցասեղան</t>
  </si>
  <si>
    <t>Կցասեղան՝ պահարանիկով</t>
  </si>
  <si>
    <t>Ճաշարանի կահույք/ կոմպլեկտ</t>
  </si>
  <si>
    <t>պահարան</t>
  </si>
  <si>
    <t>Պահարան</t>
  </si>
  <si>
    <t>ՊԱՀԱՐԱՆ</t>
  </si>
  <si>
    <t xml:space="preserve">Պահարան </t>
  </si>
  <si>
    <t>ՊԱՀԱՐԱՆ ,,ԱՆԴՈ,</t>
  </si>
  <si>
    <t>Պահարան 265*100</t>
  </si>
  <si>
    <t>ՊԱՀԱՐԱՆ ԳՐՔԵՐԻ</t>
  </si>
  <si>
    <t>Պահարան գրքի /սեվ գույնի/</t>
  </si>
  <si>
    <t>Պահարան դարակներով</t>
  </si>
  <si>
    <t>ՊԱՀԱՐԱՆ ԵՐԿԱԹՅԱ</t>
  </si>
  <si>
    <t>Պահարան երկաթյա , չհրկիզվող</t>
  </si>
  <si>
    <t>ՊԱՀԱՐԱՆ ԵՐԿԱԹՅԱ /ՉՀՐԿԻԶՎՈՂ</t>
  </si>
  <si>
    <t>Պահարան երկաթյա մեծ</t>
  </si>
  <si>
    <t>Պահարան մեծ</t>
  </si>
  <si>
    <t>ՊԱՀԱՐԱՆ պլաստիկատից</t>
  </si>
  <si>
    <t>Սեղան</t>
  </si>
  <si>
    <t>ՍԵՂԱՆ 3 ԿՏՈՐԻՑ /ՊԱՐՍԿԱԿԱՆ/</t>
  </si>
  <si>
    <t>Սեղան 60*100</t>
  </si>
  <si>
    <t>Սեղան ամսագրերի</t>
  </si>
  <si>
    <t>ՍԵՂԱՆ ԱՄՍԱԳՐԵՐԻ /ՍԵՎ ԳՈՒՅՆԻ/</t>
  </si>
  <si>
    <t>ՍԵՂԱՆ ԱՇԽԱՏԱՆՔԱՅԻՆ</t>
  </si>
  <si>
    <t>ՍԵՂԱՆ ԳՐԱՍԵՆՅԱԿԱՅԻՆ</t>
  </si>
  <si>
    <t>Սեղան դիմադիր</t>
  </si>
  <si>
    <t>ՍԵՂԱՆ ԴԻՄԱԴԻՐ GE-1000</t>
  </si>
  <si>
    <t>ՍԵՂԱՆ ԵՐԵՔ ՏԵՂԱՆՈՑ,ՆԻՍՏԻ ՄԱՍՆԱԿ</t>
  </si>
  <si>
    <t>Սեղան լսարանային</t>
  </si>
  <si>
    <t>Սեղան խորհրդակցական</t>
  </si>
  <si>
    <t>Սեղան համակարգչային</t>
  </si>
  <si>
    <t>Սեղան համակարգչի</t>
  </si>
  <si>
    <t>Սեղան ղեկավարի</t>
  </si>
  <si>
    <t>Սեղան մեծ</t>
  </si>
  <si>
    <t>Սեղան միջին</t>
  </si>
  <si>
    <t>Սեղան նախագահության</t>
  </si>
  <si>
    <t>Սեղան նախագահություն փոքր</t>
  </si>
  <si>
    <t>ՍԵՂԱՆ ՆԻՍՏԵՐԻ ,,ԱՆԴՐԵ</t>
  </si>
  <si>
    <t>ՍԵՂԱՆ ՆԻՍՏԵՐԻ /ԿԼՈՐ/</t>
  </si>
  <si>
    <t>ՍԵՂԱՆ ՍԴ ԱՆԴԱՄՆԵՐԻ</t>
  </si>
  <si>
    <t>ՍԵՂԱՆ ՍԴ ՆԱԽԱԳԱՀԻ</t>
  </si>
  <si>
    <t>ՍԵՂԱՆ ՍՈՒՐՃԻ TR.310</t>
  </si>
  <si>
    <t>Ստելաժ 130x180 չափսի</t>
  </si>
  <si>
    <t>ՖԱՔՍ ,,ՊԱՆԱՍՈՆԻԿ</t>
  </si>
  <si>
    <t>Հեռախոս Panasonic KX-TG8100BX</t>
  </si>
  <si>
    <t>Հեռախոս Մոտոռոլա</t>
  </si>
  <si>
    <t>Հեռախոս հեռակառավարմամբ</t>
  </si>
  <si>
    <t>Հեռախոս ՊԱՆԱՍՈՆԻԿ</t>
  </si>
  <si>
    <t>Հեռախոս ստեղն., հասարակ</t>
  </si>
  <si>
    <t>Հեռախոս Պանասոնիկ</t>
  </si>
  <si>
    <t>Հեռախոս Տեխնիկա</t>
  </si>
  <si>
    <t>Հեռախոս ստեղնավոր</t>
  </si>
  <si>
    <t>Հեռախոս սկավառակով</t>
  </si>
  <si>
    <t>ՁԱՅՆԱԳՐԻՉ DECK-JVC</t>
  </si>
  <si>
    <t>ՍԱՌՆԱՐԱՆ  ,,ԴԱՅՎՈ,,</t>
  </si>
  <si>
    <t>ԷԼԵԿՏՐԱԿԱՆ ՍԱԼԻԿ</t>
  </si>
  <si>
    <t>ԲԱՐ-ՊԱՀԱՐԱՆ</t>
  </si>
  <si>
    <t>ՊՐՈԵԿՏՈՐ ELITE</t>
  </si>
  <si>
    <t>ՄԵՏԱՂՈՐՍԻՉ տեղակայված</t>
  </si>
  <si>
    <t>ՄԵՏԱՂՈՐՍԻՉ ձեռքի</t>
  </si>
  <si>
    <t>ՍԱՌՆԱՐԱՆ Westpoint 134</t>
  </si>
  <si>
    <t>Օդորակիչ/կոնդիցիոներ/  Carrier</t>
  </si>
  <si>
    <t>Սառնարան DAEWOO FR-142</t>
  </si>
  <si>
    <t>Օդորակիչ SPKA BTU/ T-84 թերմ-ով</t>
  </si>
  <si>
    <t>Օդորակիչ VEGA KFR25GW/VD</t>
  </si>
  <si>
    <t>Սառնարան MASTERCOOK L48</t>
  </si>
  <si>
    <t>Հեռուստացույց TV VESTA 2101</t>
  </si>
  <si>
    <t>Ջրի ապարատ</t>
  </si>
  <si>
    <t>Էլեկտրատաքացուցիչ /կալորիֆեր</t>
  </si>
  <si>
    <t>Կոնդիցիոներ SAMSUNG AQ09W8WE</t>
  </si>
  <si>
    <t>Հեռուստացույց SANYO 21FS2</t>
  </si>
  <si>
    <t>Տաքացուցիչ NOBEL NOR 1507</t>
  </si>
  <si>
    <t>Փոշեկուլ</t>
  </si>
  <si>
    <t>ԳՐԱՄԵՔԵՆԱ ,,ՌՈԲՈՏՐՈՆ-24,, ՄԵԽԱՆ</t>
  </si>
  <si>
    <t>ԳՐԱՄԵՔԵՆԱ ,,ՅԱՏՐԱՆ,, ԷԼԵԿՏՐ</t>
  </si>
  <si>
    <t>ԳՐԱՄԵՔԵՆԱ ,,ԴԱՐՈ,,</t>
  </si>
  <si>
    <t>Փոշեկուլ GORENJE VCED11H</t>
  </si>
  <si>
    <t>Օդորակիչ ՄԻԴԵԱ</t>
  </si>
  <si>
    <t>Սառնարան ԲԻԱՆԿԱ</t>
  </si>
  <si>
    <t>Լուսաձ.սարք Փարոսիկ LTD0181</t>
  </si>
  <si>
    <t>DVD Panasonic,Canyon ականջակալով</t>
  </si>
  <si>
    <t>Ֆոտոխցիկ Sony</t>
  </si>
  <si>
    <t>Առկայծիչ Sony</t>
  </si>
  <si>
    <t>CD ԵՎ աուդիո մագնիտոֆոն- AIN</t>
  </si>
  <si>
    <t>Սառնարան  SHARP</t>
  </si>
  <si>
    <t>Հեռուստացույց LCDLED TOSHIBA</t>
  </si>
  <si>
    <t>Շարժական աուդիո PANASONIK</t>
  </si>
  <si>
    <t>Օդորակիչ պատի SDMB-HE</t>
  </si>
  <si>
    <t>Խոսափող պրոֆես. ProSau</t>
  </si>
  <si>
    <t>Տեսահսկման համակարգ</t>
  </si>
  <si>
    <t>Տոսախցիկ</t>
  </si>
  <si>
    <t>Բաժանարար վահանակ  Sou</t>
  </si>
  <si>
    <t>Հեռուստացույց SKYWORT</t>
  </si>
  <si>
    <t>Օդորակիչ Timberk ACTIN</t>
  </si>
  <si>
    <t>Սառնարան</t>
  </si>
  <si>
    <t>Միկրոալիքային վառարան SAMSUNG GE88SUT/BW</t>
  </si>
  <si>
    <t>Գազօջախ FISHER FFC9042DEX</t>
  </si>
  <si>
    <t>Օդորակիչ  SATURN CS 09</t>
  </si>
  <si>
    <t>DVR+Տեսախցիկ</t>
  </si>
  <si>
    <t>Պրոեկտոր  Multimedia</t>
  </si>
  <si>
    <t>Օդորակիչ HISENSE AS12HR4SVD  (TD</t>
  </si>
  <si>
    <t>Օդթրակիչ 3600BTU HIS</t>
  </si>
  <si>
    <t>Փոշեկուլ ETA PROFI</t>
  </si>
  <si>
    <t>Օդորակիչ  9000 BTU</t>
  </si>
  <si>
    <t>Սրճեփ մեքենա</t>
  </si>
  <si>
    <t>Օդորակիչ  VIKASS</t>
  </si>
  <si>
    <t>Ջուր սառեցնող/ տաքացնող</t>
  </si>
  <si>
    <t>Օդորակիչ</t>
  </si>
  <si>
    <t>ՍԵՂԱՆ-ՏԱԿԴԻՐ ՍՊ-1290-Ի ՀԱՄԱՐ</t>
  </si>
  <si>
    <t>ՑՈՒՑԱՏԱԽՏԱԿ ՍԴ ՇԵՆՔԻ</t>
  </si>
  <si>
    <t>ԱՄԲԻՈՆ ՍԴ ՆԻՍՏԻ /ՓՈՔՐ</t>
  </si>
  <si>
    <t>ԱՄԲԻՈՆ ՍԴ ՆԻՍՏԻ /ՄԵԾ/</t>
  </si>
  <si>
    <t>ԱՐԳԵԼԱՓԱԿՈՑ</t>
  </si>
  <si>
    <t>ԺԱՄԱՑՈՒՅՑ ՄԵԾ ,,ՕՉԶ,</t>
  </si>
  <si>
    <t>ՀՀ ԴՐՈՇԸ ՊԱՏՎԱՆԴԱՆՈՎ</t>
  </si>
  <si>
    <t>ՀՀ ԶԻՆԱՆՇԱՆ /ՓԱՅՏԻՑ/</t>
  </si>
  <si>
    <t>ԶԻՆԱՆՇԱՆ</t>
  </si>
  <si>
    <t>ՋԱՀ ԴԱՀԼԻՃԻ /ՄԵԾ</t>
  </si>
  <si>
    <t>,,ՖԵՄԻԴԱ,, արձան</t>
  </si>
  <si>
    <t>Արցախի դրոշ</t>
  </si>
  <si>
    <t>Ղազախստանի դրոշ</t>
  </si>
  <si>
    <t>Վրաստանի դրոշ</t>
  </si>
  <si>
    <t>Քարտադարան</t>
  </si>
  <si>
    <t>Ամբիոն</t>
  </si>
  <si>
    <t>Ջահ մեծ</t>
  </si>
  <si>
    <t>Ջահ միջին</t>
  </si>
  <si>
    <t>Ջահ փոքր</t>
  </si>
  <si>
    <t>Ջահ մետաղյա</t>
  </si>
  <si>
    <t>Լուսարձակ</t>
  </si>
  <si>
    <t>Զուգարանի հավաքածո</t>
  </si>
  <si>
    <t>Ջահ ցուցատախտակի</t>
  </si>
  <si>
    <t>Ջահ զբոսայգու</t>
  </si>
  <si>
    <t>Բազկաթոռ օֆիսային</t>
  </si>
  <si>
    <t>Աթոռ երկաթե ոտքերով</t>
  </si>
  <si>
    <t>Սեղան զիգզագ, գրադարանի</t>
  </si>
  <si>
    <t>Աթոռ ,,Նարեկ-1,,</t>
  </si>
  <si>
    <t>Աթոռ ,,Նարեկ-2,,</t>
  </si>
  <si>
    <t xml:space="preserve">Ընդամենը ծառայողական ավտոմեքենաների  սահմանաքանակը` _15________   </t>
  </si>
  <si>
    <t>Առկա մեքենաների թիվը` ընդամենը -_13___</t>
  </si>
  <si>
    <t>Շեվրոլետ</t>
  </si>
  <si>
    <t>Կիա Օպտիմա</t>
  </si>
  <si>
    <t>օտարման գործընթաց</t>
  </si>
  <si>
    <t>Աուդի Q7</t>
  </si>
  <si>
    <t>Հունդաի Էլանտրա</t>
  </si>
  <si>
    <t>Օպել Աստրա կլասիկ</t>
  </si>
  <si>
    <t>Կիա օպտիմա</t>
  </si>
  <si>
    <t>Տոյոտա Կորոլլա</t>
  </si>
  <si>
    <t>Զետտա</t>
  </si>
  <si>
    <t>Հայտատուի  անվանումը  Սահմանադրական դատարան</t>
  </si>
  <si>
    <t>Լեհաստան</t>
  </si>
  <si>
    <t>Միջազգային խորհրդաժողով</t>
  </si>
  <si>
    <t>Ֆրանսիա</t>
  </si>
  <si>
    <t xml:space="preserve">Պաշտոնական այց, գիտաժողով, </t>
  </si>
  <si>
    <t>Լիտվա</t>
  </si>
  <si>
    <t>Ֆրանսիա /տարածք/</t>
  </si>
  <si>
    <t>Գերմանիա</t>
  </si>
  <si>
    <t>Մեծ Բրիտանիա</t>
  </si>
  <si>
    <t>Բուլղարիա</t>
  </si>
  <si>
    <t>Ռուսաստան</t>
  </si>
  <si>
    <t>Վրաստան</t>
  </si>
  <si>
    <t>ԱՄՆ</t>
  </si>
  <si>
    <t>Ղազախստան</t>
  </si>
  <si>
    <t>ՀՀ վարչապետի 21.02.96թ-ի N66 որոշում</t>
  </si>
  <si>
    <t>Բաղրամյան 10</t>
  </si>
  <si>
    <t>2720.1 քառ. մետր</t>
  </si>
  <si>
    <t>Ընթացիկ նորոգման աշխատանքներ</t>
  </si>
  <si>
    <t>հերթապահ</t>
  </si>
  <si>
    <t>աշխ.ղեկ.տեղակալ</t>
  </si>
  <si>
    <t>դատավոր</t>
  </si>
  <si>
    <t>աշխատակազմի ղեկավար</t>
  </si>
  <si>
    <t>Համակարգիչ</t>
  </si>
  <si>
    <t>Մոնիտոր</t>
  </si>
  <si>
    <t>Բազմաֆունկցիոնալ տպիչ</t>
  </si>
  <si>
    <t>Տպիչ</t>
  </si>
  <si>
    <t>Երկկողմանի տպիչ</t>
  </si>
  <si>
    <t>Նոթբուք</t>
  </si>
  <si>
    <t>Արտաքին հիշողության կրիչ</t>
  </si>
  <si>
    <t>Վեբ տեսախցիկ</t>
  </si>
  <si>
    <t>Բարձրախոս</t>
  </si>
  <si>
    <t>WI FI սարք</t>
  </si>
  <si>
    <t>Համակարգիչ Core i5</t>
  </si>
  <si>
    <t>Համակարգիչ Intel Core i5 10400</t>
  </si>
  <si>
    <t>Դյուրակիր համակարգիչ Lenovo</t>
  </si>
  <si>
    <t>Դյուրակիր համակարգիչ DELL Vostro 3500i3</t>
  </si>
  <si>
    <t>Բազմաֆունկցիոնալ տպիչ Canon</t>
  </si>
  <si>
    <t>Տպիչ HP Laser</t>
  </si>
  <si>
    <t>Երկկողմանի տպիչ Canon PIXMA</t>
  </si>
  <si>
    <t>Մոնիտոր 18.5 MERCURY</t>
  </si>
  <si>
    <t>Մոնիտոր ASUS VP2280DE</t>
  </si>
  <si>
    <t>Բարձրախոս LOGITECH  Z207</t>
  </si>
  <si>
    <t>Բարձրախոս LOGITECH  Z150</t>
  </si>
  <si>
    <t>Անխափան սնուցման սարք APC BX650</t>
  </si>
  <si>
    <t>Արտաքին հիշողության կրիչ /2 տեռաբայթ/</t>
  </si>
  <si>
    <t>Վեբ տեսախցիիկ LOGITECH C505</t>
  </si>
  <si>
    <t>Սահմանադրական դատարանի տեխնիկական հագեցվածության  ապահովում</t>
  </si>
  <si>
    <t>Սահմանադրական դատարանի պահուստային ֆոնդ</t>
  </si>
  <si>
    <t>Սահմանադրական դատարանի գործունեության ապահովում</t>
  </si>
  <si>
    <t>փաստացի հաշվարկ</t>
  </si>
  <si>
    <t>ՍԴ տեղեկագրի տպագր. փոփոխություն /թերթերի քանակի աճ/</t>
  </si>
  <si>
    <t>վառելիքի միավորի գնաճ</t>
  </si>
  <si>
    <t>Մալբռի ծրագրի սպասարկման սակագնի աճ</t>
  </si>
  <si>
    <t>սակագնի փոփոխ.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</si>
</sst>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  <numFmt numFmtId="197" formatCode="_(* #,##0.0_);_(* \(#,##0.0\);_(* &quot;-&quot;??_);_(@_)"/>
    <numFmt numFmtId="198" formatCode="_-* #,##0.0_-;\-* #,##0.0_-;_-* &quot;-&quot;??_-;_-@_-"/>
    <numFmt numFmtId="199" formatCode="_-* #,##0_-;\-* #,##0_-;_-* &quot;-&quot;??_-;_-@_-"/>
    <numFmt numFmtId="200" formatCode="0.00000"/>
    <numFmt numFmtId="201" formatCode="0.0000"/>
    <numFmt numFmtId="202" formatCode="0.0%"/>
    <numFmt numFmtId="203" formatCode="#,##0.0_);[Red]\(#,##0.0\)"/>
  </numFmts>
  <fonts count="10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5"/>
      <name val="GHEA Grapalat"/>
      <family val="3"/>
    </font>
    <font>
      <b/>
      <sz val="12"/>
      <color indexed="10"/>
      <name val="GHEA Grapalat"/>
      <family val="3"/>
    </font>
    <font>
      <b/>
      <sz val="11"/>
      <color indexed="10"/>
      <name val="GHEA Grapalat"/>
      <family val="3"/>
    </font>
    <font>
      <b/>
      <sz val="8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i/>
      <u val="single"/>
      <sz val="10"/>
      <name val="GHEA Grapalat"/>
      <family val="3"/>
    </font>
    <font>
      <sz val="10"/>
      <color indexed="8"/>
      <name val="GHEA Grapalat"/>
      <family val="3"/>
    </font>
    <font>
      <i/>
      <sz val="10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i/>
      <sz val="10"/>
      <color indexed="10"/>
      <name val="GHEA Grapalat"/>
      <family val="3"/>
    </font>
    <font>
      <sz val="10"/>
      <color indexed="10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color indexed="8"/>
      <name val="GHEA Grapalat"/>
      <family val="3"/>
    </font>
    <font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u val="single"/>
      <sz val="12"/>
      <name val="GHEA Grapalat"/>
      <family val="3"/>
    </font>
    <font>
      <b/>
      <sz val="12"/>
      <name val="GHEA Grapalat"/>
      <family val="3"/>
    </font>
    <font>
      <i/>
      <sz val="9"/>
      <name val="GHEA Grapalat"/>
      <family val="3"/>
    </font>
    <font>
      <b/>
      <sz val="10"/>
      <color indexed="10"/>
      <name val="GHEA Grapalat"/>
      <family val="3"/>
    </font>
    <font>
      <b/>
      <sz val="8"/>
      <color indexed="8"/>
      <name val="GHEA Grapalat"/>
      <family val="3"/>
    </font>
    <font>
      <b/>
      <i/>
      <sz val="10"/>
      <color indexed="10"/>
      <name val="GHEA Grapalat"/>
      <family val="3"/>
    </font>
    <font>
      <b/>
      <sz val="9"/>
      <color indexed="10"/>
      <name val="GHEA Grapalat"/>
      <family val="3"/>
    </font>
    <font>
      <i/>
      <sz val="12"/>
      <name val="GHEA Grapalat"/>
      <family val="3"/>
    </font>
    <font>
      <u val="single"/>
      <sz val="9"/>
      <name val="GHEA Grapalat"/>
      <family val="3"/>
    </font>
    <font>
      <sz val="10"/>
      <name val="Arial Armenian"/>
      <family val="2"/>
    </font>
    <font>
      <sz val="10"/>
      <color indexed="8"/>
      <name val="MS Sans Serif"/>
      <family val="2"/>
    </font>
    <font>
      <sz val="10"/>
      <name val="Times Armenian"/>
      <family val="1"/>
    </font>
    <font>
      <sz val="9"/>
      <name val="GHEA Mariam"/>
      <family val="3"/>
    </font>
    <font>
      <i/>
      <sz val="11"/>
      <name val="GHEA Grapalat"/>
      <family val="3"/>
    </font>
    <font>
      <sz val="12"/>
      <color indexed="8"/>
      <name val="GHEA Grapalat"/>
      <family val="3"/>
    </font>
    <font>
      <sz val="7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Armeni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GHEA Grapalat"/>
      <family val="3"/>
    </font>
    <font>
      <i/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Mariam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u val="single"/>
      <sz val="12"/>
      <color indexed="13"/>
      <name val="GHEA Grapalat"/>
      <family val="3"/>
    </font>
    <font>
      <u val="single"/>
      <sz val="12"/>
      <color indexed="8"/>
      <name val="GHEA Grapalat"/>
      <family val="3"/>
    </font>
    <font>
      <i/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 Armeni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GHEA Grapalat"/>
      <family val="3"/>
    </font>
    <font>
      <b/>
      <sz val="12"/>
      <color rgb="FFFF0000"/>
      <name val="GHEA Grapalat"/>
      <family val="3"/>
    </font>
    <font>
      <sz val="9"/>
      <color rgb="FFFF0000"/>
      <name val="GHEA Grapalat"/>
      <family val="3"/>
    </font>
    <font>
      <sz val="10"/>
      <color theme="1"/>
      <name val="GHEA Grapalat"/>
      <family val="3"/>
    </font>
    <font>
      <sz val="8"/>
      <color theme="1"/>
      <name val="GHEA Grapalat"/>
      <family val="3"/>
    </font>
    <font>
      <b/>
      <sz val="11"/>
      <color rgb="FFFF0000"/>
      <name val="GHEA Grapalat"/>
      <family val="3"/>
    </font>
    <font>
      <i/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rgb="FF000000"/>
      <name val="GHEA Mariam"/>
      <family val="3"/>
    </font>
    <font>
      <sz val="11"/>
      <color theme="1"/>
      <name val="GHEA Grapalat"/>
      <family val="3"/>
    </font>
    <font>
      <b/>
      <sz val="10"/>
      <color rgb="FFFF0000"/>
      <name val="GHEA Grapalat"/>
      <family val="3"/>
    </font>
    <font>
      <sz val="11"/>
      <color rgb="FF000000"/>
      <name val="GHEA Grapalat"/>
      <family val="3"/>
    </font>
    <font>
      <b/>
      <sz val="11"/>
      <color rgb="FF000000"/>
      <name val="GHEA Grapalat"/>
      <family val="3"/>
    </font>
    <font>
      <u val="single"/>
      <sz val="12"/>
      <color rgb="FFFFC000"/>
      <name val="GHEA Grapalat"/>
      <family val="3"/>
    </font>
    <font>
      <u val="single"/>
      <sz val="12"/>
      <color theme="1"/>
      <name val="GHEA Grapalat"/>
      <family val="3"/>
    </font>
    <font>
      <i/>
      <sz val="10"/>
      <color theme="1"/>
      <name val="GHEA Grapalat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185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4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>
      <alignment/>
      <protection/>
    </xf>
    <xf numFmtId="0" fontId="4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185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0" fontId="8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Continuous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centerContinuous" wrapText="1"/>
    </xf>
    <xf numFmtId="0" fontId="10" fillId="33" borderId="10" xfId="0" applyFont="1" applyFill="1" applyBorder="1" applyAlignment="1">
      <alignment horizontal="centerContinuous" wrapText="1"/>
    </xf>
    <xf numFmtId="0" fontId="11" fillId="33" borderId="0" xfId="0" applyFont="1" applyFill="1" applyBorder="1" applyAlignment="1">
      <alignment horizontal="centerContinuous" wrapText="1"/>
    </xf>
    <xf numFmtId="0" fontId="11" fillId="33" borderId="0" xfId="0" applyFont="1" applyFill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Continuous" wrapText="1"/>
    </xf>
    <xf numFmtId="0" fontId="15" fillId="0" borderId="11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1" fillId="0" borderId="11" xfId="0" applyFont="1" applyFill="1" applyBorder="1" applyAlignment="1">
      <alignment wrapText="1"/>
    </xf>
    <xf numFmtId="186" fontId="11" fillId="0" borderId="11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4" fillId="0" borderId="11" xfId="0" applyFont="1" applyBorder="1" applyAlignment="1">
      <alignment wrapText="1"/>
    </xf>
    <xf numFmtId="0" fontId="11" fillId="33" borderId="0" xfId="0" applyFont="1" applyFill="1" applyBorder="1" applyAlignment="1">
      <alignment horizontal="centerContinuous"/>
    </xf>
    <xf numFmtId="0" fontId="12" fillId="33" borderId="10" xfId="0" applyFont="1" applyFill="1" applyBorder="1" applyAlignment="1">
      <alignment horizontal="left" wrapText="1"/>
    </xf>
    <xf numFmtId="0" fontId="14" fillId="33" borderId="0" xfId="0" applyFont="1" applyFill="1" applyBorder="1" applyAlignment="1">
      <alignment horizontal="centerContinuous" wrapText="1"/>
    </xf>
    <xf numFmtId="0" fontId="16" fillId="0" borderId="11" xfId="0" applyFont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186" fontId="14" fillId="34" borderId="11" xfId="0" applyNumberFormat="1" applyFont="1" applyFill="1" applyBorder="1" applyAlignment="1">
      <alignment horizontal="center" wrapText="1"/>
    </xf>
    <xf numFmtId="0" fontId="14" fillId="34" borderId="0" xfId="0" applyFont="1" applyFill="1" applyAlignment="1">
      <alignment/>
    </xf>
    <xf numFmtId="0" fontId="14" fillId="33" borderId="11" xfId="0" applyFont="1" applyFill="1" applyBorder="1" applyAlignment="1">
      <alignment wrapText="1"/>
    </xf>
    <xf numFmtId="0" fontId="11" fillId="33" borderId="11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17" fillId="34" borderId="11" xfId="0" applyFont="1" applyFill="1" applyBorder="1" applyAlignment="1">
      <alignment wrapText="1"/>
    </xf>
    <xf numFmtId="186" fontId="14" fillId="33" borderId="11" xfId="0" applyNumberFormat="1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Continuous" wrapText="1"/>
    </xf>
    <xf numFmtId="0" fontId="15" fillId="33" borderId="0" xfId="0" applyFont="1" applyFill="1" applyAlignment="1">
      <alignment horizontal="centerContinuous"/>
    </xf>
    <xf numFmtId="0" fontId="20" fillId="33" borderId="0" xfId="0" applyFont="1" applyFill="1" applyAlignment="1">
      <alignment horizontal="centerContinuous"/>
    </xf>
    <xf numFmtId="186" fontId="15" fillId="33" borderId="0" xfId="0" applyNumberFormat="1" applyFont="1" applyFill="1" applyAlignment="1">
      <alignment horizontal="center"/>
    </xf>
    <xf numFmtId="0" fontId="15" fillId="33" borderId="0" xfId="0" applyFont="1" applyFill="1" applyAlignment="1">
      <alignment wrapText="1"/>
    </xf>
    <xf numFmtId="0" fontId="20" fillId="33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15" fillId="33" borderId="12" xfId="0" applyFont="1" applyFill="1" applyBorder="1" applyAlignment="1">
      <alignment horizontal="center"/>
    </xf>
    <xf numFmtId="1" fontId="14" fillId="33" borderId="12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 wrapText="1"/>
    </xf>
    <xf numFmtId="0" fontId="15" fillId="0" borderId="13" xfId="0" applyFont="1" applyBorder="1" applyAlignment="1">
      <alignment horizontal="centerContinuous" wrapText="1"/>
    </xf>
    <xf numFmtId="0" fontId="15" fillId="0" borderId="14" xfId="0" applyFont="1" applyBorder="1" applyAlignment="1">
      <alignment horizontal="centerContinuous" wrapText="1"/>
    </xf>
    <xf numFmtId="0" fontId="15" fillId="0" borderId="15" xfId="0" applyFont="1" applyBorder="1" applyAlignment="1">
      <alignment horizontal="centerContinuous" wrapText="1"/>
    </xf>
    <xf numFmtId="0" fontId="15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/>
    </xf>
    <xf numFmtId="0" fontId="15" fillId="0" borderId="14" xfId="0" applyFont="1" applyBorder="1" applyAlignment="1">
      <alignment horizontal="centerContinuous"/>
    </xf>
    <xf numFmtId="0" fontId="15" fillId="0" borderId="15" xfId="0" applyFont="1" applyBorder="1" applyAlignment="1">
      <alignment horizontal="centerContinuous"/>
    </xf>
    <xf numFmtId="0" fontId="11" fillId="33" borderId="16" xfId="0" applyFont="1" applyFill="1" applyBorder="1" applyAlignment="1">
      <alignment horizontal="center"/>
    </xf>
    <xf numFmtId="0" fontId="16" fillId="33" borderId="16" xfId="0" applyFont="1" applyFill="1" applyBorder="1" applyAlignment="1">
      <alignment wrapText="1"/>
    </xf>
    <xf numFmtId="0" fontId="15" fillId="33" borderId="16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Continuous" wrapText="1"/>
    </xf>
    <xf numFmtId="0" fontId="15" fillId="33" borderId="11" xfId="0" applyFont="1" applyFill="1" applyBorder="1" applyAlignment="1">
      <alignment horizontal="center" wrapText="1"/>
    </xf>
    <xf numFmtId="0" fontId="15" fillId="33" borderId="17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6" fillId="0" borderId="17" xfId="0" applyFont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11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186" fontId="11" fillId="0" borderId="11" xfId="0" applyNumberFormat="1" applyFont="1" applyBorder="1" applyAlignment="1">
      <alignment horizontal="center"/>
    </xf>
    <xf numFmtId="186" fontId="11" fillId="0" borderId="11" xfId="0" applyNumberFormat="1" applyFont="1" applyBorder="1" applyAlignment="1">
      <alignment horizontal="centerContinuous" wrapText="1"/>
    </xf>
    <xf numFmtId="0" fontId="15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86" fontId="11" fillId="0" borderId="11" xfId="0" applyNumberFormat="1" applyFont="1" applyBorder="1" applyAlignment="1">
      <alignment horizontal="center" wrapText="1"/>
    </xf>
    <xf numFmtId="186" fontId="18" fillId="0" borderId="1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 wrapText="1"/>
    </xf>
    <xf numFmtId="0" fontId="11" fillId="34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wrapText="1"/>
    </xf>
    <xf numFmtId="1" fontId="11" fillId="34" borderId="11" xfId="0" applyNumberFormat="1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186" fontId="11" fillId="34" borderId="11" xfId="0" applyNumberFormat="1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16" fillId="0" borderId="11" xfId="0" applyFont="1" applyBorder="1" applyAlignment="1">
      <alignment horizontal="left" wrapText="1"/>
    </xf>
    <xf numFmtId="0" fontId="11" fillId="0" borderId="0" xfId="0" applyFont="1" applyAlignment="1">
      <alignment wrapText="1"/>
    </xf>
    <xf numFmtId="49" fontId="16" fillId="0" borderId="0" xfId="0" applyNumberFormat="1" applyFont="1" applyBorder="1" applyAlignment="1">
      <alignment horizontal="centerContinuous" wrapText="1"/>
    </xf>
    <xf numFmtId="0" fontId="11" fillId="0" borderId="0" xfId="0" applyFont="1" applyAlignment="1">
      <alignment horizontal="centerContinuous" wrapText="1"/>
    </xf>
    <xf numFmtId="0" fontId="11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186" fontId="11" fillId="0" borderId="0" xfId="0" applyNumberFormat="1" applyFont="1" applyAlignment="1">
      <alignment horizontal="centerContinuous"/>
    </xf>
    <xf numFmtId="186" fontId="8" fillId="34" borderId="18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centerContinuous" wrapText="1"/>
    </xf>
    <xf numFmtId="0" fontId="16" fillId="0" borderId="0" xfId="0" applyFont="1" applyAlignment="1">
      <alignment wrapText="1"/>
    </xf>
    <xf numFmtId="0" fontId="15" fillId="0" borderId="19" xfId="0" applyFont="1" applyBorder="1" applyAlignment="1">
      <alignment horizontal="center"/>
    </xf>
    <xf numFmtId="0" fontId="15" fillId="33" borderId="2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/>
    </xf>
    <xf numFmtId="0" fontId="11" fillId="33" borderId="0" xfId="0" applyFont="1" applyFill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6" fillId="33" borderId="0" xfId="0" applyFont="1" applyFill="1" applyAlignment="1">
      <alignment wrapText="1"/>
    </xf>
    <xf numFmtId="0" fontId="11" fillId="33" borderId="0" xfId="0" applyFont="1" applyFill="1" applyAlignment="1">
      <alignment horizontal="centerContinuous" wrapText="1"/>
    </xf>
    <xf numFmtId="0" fontId="16" fillId="33" borderId="0" xfId="0" applyFont="1" applyFill="1" applyAlignment="1">
      <alignment horizontal="centerContinuous" wrapText="1"/>
    </xf>
    <xf numFmtId="0" fontId="15" fillId="33" borderId="11" xfId="0" applyFont="1" applyFill="1" applyBorder="1" applyAlignment="1">
      <alignment horizontal="center"/>
    </xf>
    <xf numFmtId="0" fontId="15" fillId="33" borderId="11" xfId="0" applyFont="1" applyFill="1" applyBorder="1" applyAlignment="1">
      <alignment wrapText="1"/>
    </xf>
    <xf numFmtId="0" fontId="21" fillId="33" borderId="11" xfId="0" applyFont="1" applyFill="1" applyBorder="1" applyAlignment="1">
      <alignment horizontal="center" wrapText="1"/>
    </xf>
    <xf numFmtId="186" fontId="16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25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186" fontId="14" fillId="0" borderId="11" xfId="0" applyNumberFormat="1" applyFont="1" applyBorder="1" applyAlignment="1">
      <alignment horizontal="center" wrapText="1"/>
    </xf>
    <xf numFmtId="0" fontId="25" fillId="0" borderId="0" xfId="0" applyFont="1" applyBorder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0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Continuous"/>
    </xf>
    <xf numFmtId="186" fontId="24" fillId="0" borderId="11" xfId="0" applyNumberFormat="1" applyFont="1" applyBorder="1" applyAlignment="1">
      <alignment horizontal="center" wrapText="1"/>
    </xf>
    <xf numFmtId="0" fontId="16" fillId="33" borderId="0" xfId="0" applyFont="1" applyFill="1" applyBorder="1" applyAlignment="1">
      <alignment horizontal="centerContinuous" wrapText="1"/>
    </xf>
    <xf numFmtId="0" fontId="16" fillId="0" borderId="11" xfId="0" applyFont="1" applyBorder="1" applyAlignment="1">
      <alignment horizontal="center"/>
    </xf>
    <xf numFmtId="0" fontId="16" fillId="33" borderId="11" xfId="0" applyFont="1" applyFill="1" applyBorder="1" applyAlignment="1">
      <alignment horizontal="center" wrapText="1"/>
    </xf>
    <xf numFmtId="186" fontId="16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Continuous" wrapText="1"/>
    </xf>
    <xf numFmtId="0" fontId="24" fillId="33" borderId="0" xfId="0" applyFont="1" applyFill="1" applyBorder="1" applyAlignment="1">
      <alignment horizontal="center" vertical="distributed" wrapText="1" readingOrder="1"/>
    </xf>
    <xf numFmtId="186" fontId="24" fillId="33" borderId="0" xfId="0" applyNumberFormat="1" applyFont="1" applyFill="1" applyBorder="1" applyAlignment="1">
      <alignment horizontal="center" vertical="distributed" wrapText="1" readingOrder="1"/>
    </xf>
    <xf numFmtId="186" fontId="16" fillId="33" borderId="0" xfId="0" applyNumberFormat="1" applyFont="1" applyFill="1" applyBorder="1" applyAlignment="1">
      <alignment horizontal="centerContinuous" wrapText="1"/>
    </xf>
    <xf numFmtId="0" fontId="14" fillId="33" borderId="0" xfId="0" applyFont="1" applyFill="1" applyAlignment="1">
      <alignment horizontal="centerContinuous"/>
    </xf>
    <xf numFmtId="0" fontId="10" fillId="33" borderId="0" xfId="0" applyFont="1" applyFill="1" applyBorder="1" applyAlignment="1">
      <alignment wrapText="1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wrapText="1"/>
    </xf>
    <xf numFmtId="0" fontId="15" fillId="33" borderId="24" xfId="0" applyFont="1" applyFill="1" applyBorder="1" applyAlignment="1">
      <alignment horizontal="center"/>
    </xf>
    <xf numFmtId="0" fontId="15" fillId="33" borderId="25" xfId="0" applyFont="1" applyFill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wrapText="1"/>
    </xf>
    <xf numFmtId="0" fontId="11" fillId="0" borderId="28" xfId="0" applyFont="1" applyBorder="1" applyAlignment="1">
      <alignment horizontal="center"/>
    </xf>
    <xf numFmtId="0" fontId="11" fillId="0" borderId="17" xfId="0" applyFont="1" applyBorder="1" applyAlignment="1">
      <alignment horizontal="left" vertical="center"/>
    </xf>
    <xf numFmtId="186" fontId="11" fillId="0" borderId="17" xfId="0" applyNumberFormat="1" applyFont="1" applyBorder="1" applyAlignment="1">
      <alignment horizontal="center" vertical="center" wrapText="1"/>
    </xf>
    <xf numFmtId="186" fontId="11" fillId="0" borderId="29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/>
    </xf>
    <xf numFmtId="0" fontId="11" fillId="0" borderId="11" xfId="0" applyFont="1" applyBorder="1" applyAlignment="1">
      <alignment horizontal="left" vertical="center"/>
    </xf>
    <xf numFmtId="186" fontId="11" fillId="0" borderId="11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/>
    </xf>
    <xf numFmtId="0" fontId="11" fillId="0" borderId="12" xfId="0" applyFont="1" applyBorder="1" applyAlignment="1">
      <alignment wrapText="1"/>
    </xf>
    <xf numFmtId="0" fontId="11" fillId="0" borderId="19" xfId="0" applyFont="1" applyBorder="1" applyAlignment="1">
      <alignment horizontal="center"/>
    </xf>
    <xf numFmtId="0" fontId="14" fillId="35" borderId="20" xfId="0" applyFont="1" applyFill="1" applyBorder="1" applyAlignment="1">
      <alignment wrapText="1"/>
    </xf>
    <xf numFmtId="0" fontId="14" fillId="35" borderId="20" xfId="0" applyFont="1" applyFill="1" applyBorder="1" applyAlignment="1">
      <alignment horizontal="center" vertical="center"/>
    </xf>
    <xf numFmtId="186" fontId="14" fillId="35" borderId="20" xfId="0" applyNumberFormat="1" applyFont="1" applyFill="1" applyBorder="1" applyAlignment="1">
      <alignment horizontal="center" vertical="center"/>
    </xf>
    <xf numFmtId="186" fontId="14" fillId="35" borderId="3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Continuous" wrapText="1"/>
    </xf>
    <xf numFmtId="0" fontId="12" fillId="33" borderId="0" xfId="0" applyFont="1" applyFill="1" applyBorder="1" applyAlignment="1">
      <alignment horizontal="centerContinuous" wrapText="1"/>
    </xf>
    <xf numFmtId="0" fontId="11" fillId="33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Alignment="1">
      <alignment horizontal="center" wrapText="1"/>
    </xf>
    <xf numFmtId="0" fontId="14" fillId="0" borderId="0" xfId="0" applyFont="1" applyFill="1" applyAlignment="1">
      <alignment wrapText="1"/>
    </xf>
    <xf numFmtId="0" fontId="14" fillId="33" borderId="0" xfId="0" applyFont="1" applyFill="1" applyAlignment="1">
      <alignment wrapText="1"/>
    </xf>
    <xf numFmtId="0" fontId="14" fillId="33" borderId="0" xfId="0" applyFont="1" applyFill="1" applyAlignment="1">
      <alignment horizontal="center" wrapText="1"/>
    </xf>
    <xf numFmtId="0" fontId="14" fillId="33" borderId="0" xfId="0" applyFont="1" applyFill="1" applyBorder="1" applyAlignment="1">
      <alignment wrapText="1"/>
    </xf>
    <xf numFmtId="0" fontId="11" fillId="33" borderId="23" xfId="0" applyFont="1" applyFill="1" applyBorder="1" applyAlignment="1">
      <alignment wrapText="1"/>
    </xf>
    <xf numFmtId="0" fontId="11" fillId="33" borderId="23" xfId="0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 wrapText="1"/>
    </xf>
    <xf numFmtId="0" fontId="16" fillId="0" borderId="34" xfId="0" applyFont="1" applyFill="1" applyBorder="1" applyAlignment="1">
      <alignment horizont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wrapText="1"/>
    </xf>
    <xf numFmtId="0" fontId="16" fillId="0" borderId="1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14" xfId="0" applyFont="1" applyFill="1" applyBorder="1" applyAlignment="1">
      <alignment horizontal="left" wrapText="1"/>
    </xf>
    <xf numFmtId="0" fontId="15" fillId="33" borderId="11" xfId="0" applyFont="1" applyFill="1" applyBorder="1" applyAlignment="1">
      <alignment/>
    </xf>
    <xf numFmtId="0" fontId="14" fillId="33" borderId="12" xfId="0" applyFont="1" applyFill="1" applyBorder="1" applyAlignment="1">
      <alignment wrapText="1"/>
    </xf>
    <xf numFmtId="0" fontId="24" fillId="33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0" fontId="29" fillId="0" borderId="33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30" fillId="0" borderId="0" xfId="0" applyFont="1" applyAlignment="1">
      <alignment/>
    </xf>
    <xf numFmtId="0" fontId="18" fillId="0" borderId="3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31" fillId="33" borderId="10" xfId="0" applyFont="1" applyFill="1" applyBorder="1" applyAlignment="1">
      <alignment horizontal="left" wrapText="1"/>
    </xf>
    <xf numFmtId="0" fontId="31" fillId="33" borderId="0" xfId="0" applyFont="1" applyFill="1" applyBorder="1" applyAlignment="1">
      <alignment horizontal="centerContinuous" wrapText="1"/>
    </xf>
    <xf numFmtId="0" fontId="11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14" fillId="0" borderId="0" xfId="0" applyFont="1" applyAlignment="1">
      <alignment/>
    </xf>
    <xf numFmtId="186" fontId="11" fillId="33" borderId="11" xfId="0" applyNumberFormat="1" applyFont="1" applyFill="1" applyBorder="1" applyAlignment="1">
      <alignment horizontal="center" wrapText="1"/>
    </xf>
    <xf numFmtId="0" fontId="14" fillId="33" borderId="11" xfId="0" applyFont="1" applyFill="1" applyBorder="1" applyAlignment="1">
      <alignment/>
    </xf>
    <xf numFmtId="0" fontId="15" fillId="0" borderId="38" xfId="0" applyFont="1" applyBorder="1" applyAlignment="1">
      <alignment horizontal="center" vertical="center" wrapText="1"/>
    </xf>
    <xf numFmtId="0" fontId="11" fillId="0" borderId="17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27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34" fillId="33" borderId="0" xfId="0" applyFont="1" applyFill="1" applyBorder="1" applyAlignment="1">
      <alignment horizontal="center" wrapText="1"/>
    </xf>
    <xf numFmtId="186" fontId="1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86" fontId="14" fillId="34" borderId="11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0" fontId="34" fillId="33" borderId="0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34" borderId="11" xfId="0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wrapText="1"/>
    </xf>
    <xf numFmtId="0" fontId="14" fillId="34" borderId="11" xfId="0" applyFont="1" applyFill="1" applyBorder="1" applyAlignment="1">
      <alignment wrapText="1"/>
    </xf>
    <xf numFmtId="186" fontId="11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34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186" fontId="14" fillId="33" borderId="11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wrapText="1"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Continuous" wrapText="1"/>
    </xf>
    <xf numFmtId="0" fontId="19" fillId="33" borderId="0" xfId="0" applyFont="1" applyFill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23" fillId="0" borderId="11" xfId="0" applyFont="1" applyBorder="1" applyAlignment="1">
      <alignment horizontal="center" wrapText="1"/>
    </xf>
    <xf numFmtId="186" fontId="11" fillId="34" borderId="11" xfId="0" applyNumberFormat="1" applyFont="1" applyFill="1" applyBorder="1" applyAlignment="1">
      <alignment horizontal="centerContinuous" wrapText="1"/>
    </xf>
    <xf numFmtId="0" fontId="11" fillId="34" borderId="11" xfId="0" applyFont="1" applyFill="1" applyBorder="1" applyAlignment="1">
      <alignment horizontal="centerContinuous" wrapText="1"/>
    </xf>
    <xf numFmtId="0" fontId="11" fillId="36" borderId="0" xfId="0" applyFont="1" applyFill="1" applyAlignment="1">
      <alignment/>
    </xf>
    <xf numFmtId="0" fontId="11" fillId="36" borderId="11" xfId="0" applyFont="1" applyFill="1" applyBorder="1" applyAlignment="1">
      <alignment horizontal="center" wrapText="1"/>
    </xf>
    <xf numFmtId="186" fontId="11" fillId="36" borderId="11" xfId="0" applyNumberFormat="1" applyFont="1" applyFill="1" applyBorder="1" applyAlignment="1">
      <alignment horizontal="center"/>
    </xf>
    <xf numFmtId="0" fontId="15" fillId="36" borderId="11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186" fontId="13" fillId="0" borderId="11" xfId="0" applyNumberFormat="1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37" fillId="0" borderId="11" xfId="0" applyFont="1" applyBorder="1" applyAlignment="1">
      <alignment horizontal="center" wrapText="1"/>
    </xf>
    <xf numFmtId="0" fontId="16" fillId="36" borderId="11" xfId="0" applyFont="1" applyFill="1" applyBorder="1" applyAlignment="1">
      <alignment wrapText="1"/>
    </xf>
    <xf numFmtId="0" fontId="23" fillId="36" borderId="11" xfId="0" applyFont="1" applyFill="1" applyBorder="1" applyAlignment="1">
      <alignment horizontal="center" wrapText="1"/>
    </xf>
    <xf numFmtId="0" fontId="22" fillId="36" borderId="11" xfId="0" applyFont="1" applyFill="1" applyBorder="1" applyAlignment="1">
      <alignment horizontal="center"/>
    </xf>
    <xf numFmtId="186" fontId="11" fillId="36" borderId="11" xfId="0" applyNumberFormat="1" applyFont="1" applyFill="1" applyBorder="1" applyAlignment="1">
      <alignment horizontal="center" wrapText="1"/>
    </xf>
    <xf numFmtId="0" fontId="91" fillId="37" borderId="1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39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/>
    </xf>
    <xf numFmtId="0" fontId="11" fillId="33" borderId="39" xfId="0" applyFont="1" applyFill="1" applyBorder="1" applyAlignment="1">
      <alignment wrapText="1"/>
    </xf>
    <xf numFmtId="0" fontId="11" fillId="33" borderId="39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0" fillId="38" borderId="0" xfId="0" applyFont="1" applyFill="1" applyBorder="1" applyAlignment="1">
      <alignment/>
    </xf>
    <xf numFmtId="0" fontId="12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2" fillId="33" borderId="4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4" fillId="33" borderId="41" xfId="0" applyFont="1" applyFill="1" applyBorder="1" applyAlignment="1">
      <alignment horizontal="centerContinuous"/>
    </xf>
    <xf numFmtId="0" fontId="14" fillId="33" borderId="42" xfId="0" applyFont="1" applyFill="1" applyBorder="1" applyAlignment="1">
      <alignment horizontal="centerContinuous"/>
    </xf>
    <xf numFmtId="0" fontId="14" fillId="33" borderId="0" xfId="0" applyFont="1" applyFill="1" applyAlignment="1">
      <alignment horizontal="centerContinuous" wrapText="1"/>
    </xf>
    <xf numFmtId="0" fontId="14" fillId="33" borderId="0" xfId="0" applyFont="1" applyFill="1" applyAlignment="1">
      <alignment horizontal="centerContinuous" vertical="center"/>
    </xf>
    <xf numFmtId="1" fontId="92" fillId="0" borderId="11" xfId="0" applyNumberFormat="1" applyFont="1" applyBorder="1" applyAlignment="1">
      <alignment horizontal="center"/>
    </xf>
    <xf numFmtId="2" fontId="13" fillId="33" borderId="0" xfId="0" applyNumberFormat="1" applyFont="1" applyFill="1" applyAlignment="1">
      <alignment horizontal="centerContinuous" wrapText="1"/>
    </xf>
    <xf numFmtId="0" fontId="93" fillId="0" borderId="11" xfId="0" applyFont="1" applyBorder="1" applyAlignment="1">
      <alignment horizontal="center"/>
    </xf>
    <xf numFmtId="186" fontId="93" fillId="0" borderId="11" xfId="0" applyNumberFormat="1" applyFont="1" applyBorder="1" applyAlignment="1">
      <alignment horizontal="center"/>
    </xf>
    <xf numFmtId="2" fontId="91" fillId="0" borderId="11" xfId="0" applyNumberFormat="1" applyFont="1" applyBorder="1" applyAlignment="1">
      <alignment horizontal="center"/>
    </xf>
    <xf numFmtId="0" fontId="28" fillId="0" borderId="23" xfId="0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wrapText="1"/>
      <protection/>
    </xf>
    <xf numFmtId="0" fontId="11" fillId="33" borderId="43" xfId="0" applyFont="1" applyFill="1" applyBorder="1" applyAlignment="1">
      <alignment wrapText="1"/>
    </xf>
    <xf numFmtId="0" fontId="14" fillId="4" borderId="11" xfId="0" applyFont="1" applyFill="1" applyBorder="1" applyAlignment="1">
      <alignment horizontal="left" vertical="center" wrapText="1"/>
    </xf>
    <xf numFmtId="186" fontId="11" fillId="4" borderId="11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44" fillId="34" borderId="11" xfId="0" applyFont="1" applyFill="1" applyBorder="1" applyAlignment="1">
      <alignment wrapText="1"/>
    </xf>
    <xf numFmtId="0" fontId="14" fillId="33" borderId="37" xfId="0" applyFont="1" applyFill="1" applyBorder="1" applyAlignment="1">
      <alignment horizontal="centerContinuous" vertical="center"/>
    </xf>
    <xf numFmtId="0" fontId="28" fillId="0" borderId="44" xfId="0" applyFont="1" applyBorder="1" applyAlignment="1">
      <alignment horizontal="center" vertical="center" wrapText="1"/>
    </xf>
    <xf numFmtId="0" fontId="30" fillId="10" borderId="11" xfId="0" applyFont="1" applyFill="1" applyBorder="1" applyAlignment="1">
      <alignment horizontal="center"/>
    </xf>
    <xf numFmtId="0" fontId="30" fillId="10" borderId="11" xfId="0" applyFont="1" applyFill="1" applyBorder="1" applyAlignment="1">
      <alignment horizontal="center" wrapText="1"/>
    </xf>
    <xf numFmtId="186" fontId="30" fillId="10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2" fillId="33" borderId="40" xfId="0" applyFont="1" applyFill="1" applyBorder="1" applyAlignment="1">
      <alignment wrapText="1"/>
    </xf>
    <xf numFmtId="0" fontId="18" fillId="33" borderId="0" xfId="0" applyFont="1" applyFill="1" applyBorder="1" applyAlignment="1">
      <alignment horizontal="centerContinuous" vertical="center" wrapText="1"/>
    </xf>
    <xf numFmtId="0" fontId="11" fillId="0" borderId="18" xfId="0" applyFont="1" applyBorder="1" applyAlignment="1">
      <alignment horizontal="center" wrapText="1"/>
    </xf>
    <xf numFmtId="0" fontId="11" fillId="0" borderId="42" xfId="0" applyFont="1" applyBorder="1" applyAlignment="1">
      <alignment horizontal="centerContinuous" wrapText="1"/>
    </xf>
    <xf numFmtId="0" fontId="11" fillId="0" borderId="18" xfId="0" applyFont="1" applyBorder="1" applyAlignment="1">
      <alignment horizontal="centerContinuous" wrapText="1"/>
    </xf>
    <xf numFmtId="0" fontId="28" fillId="0" borderId="18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2" fillId="33" borderId="40" xfId="0" applyFont="1" applyFill="1" applyBorder="1" applyAlignment="1">
      <alignment horizontal="centerContinuous" wrapText="1"/>
    </xf>
    <xf numFmtId="0" fontId="45" fillId="33" borderId="0" xfId="0" applyFont="1" applyFill="1" applyBorder="1" applyAlignment="1">
      <alignment horizontal="centerContinuous" vertical="center" wrapText="1"/>
    </xf>
    <xf numFmtId="0" fontId="11" fillId="10" borderId="11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 wrapText="1"/>
    </xf>
    <xf numFmtId="0" fontId="32" fillId="10" borderId="11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center"/>
    </xf>
    <xf numFmtId="0" fontId="13" fillId="33" borderId="0" xfId="0" applyFont="1" applyFill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/>
    </xf>
    <xf numFmtId="0" fontId="27" fillId="10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/>
    </xf>
    <xf numFmtId="9" fontId="16" fillId="0" borderId="11" xfId="0" applyNumberFormat="1" applyFont="1" applyBorder="1" applyAlignment="1">
      <alignment horizontal="center"/>
    </xf>
    <xf numFmtId="0" fontId="94" fillId="0" borderId="11" xfId="0" applyFont="1" applyFill="1" applyBorder="1" applyAlignment="1">
      <alignment horizontal="center" vertical="center" wrapText="1"/>
    </xf>
    <xf numFmtId="0" fontId="94" fillId="0" borderId="11" xfId="0" applyFont="1" applyFill="1" applyBorder="1" applyAlignment="1">
      <alignment horizontal="left" vertical="top" wrapText="1"/>
    </xf>
    <xf numFmtId="0" fontId="95" fillId="0" borderId="11" xfId="0" applyFont="1" applyFill="1" applyBorder="1" applyAlignment="1">
      <alignment horizontal="center" vertical="top" wrapText="1"/>
    </xf>
    <xf numFmtId="186" fontId="25" fillId="0" borderId="11" xfId="71" applyNumberFormat="1" applyFont="1" applyFill="1" applyBorder="1" applyAlignment="1">
      <alignment horizontal="center" wrapText="1"/>
      <protection/>
    </xf>
    <xf numFmtId="186" fontId="96" fillId="0" borderId="11" xfId="71" applyNumberFormat="1" applyFont="1" applyFill="1" applyBorder="1" applyAlignment="1">
      <alignment horizontal="center" wrapText="1"/>
      <protection/>
    </xf>
    <xf numFmtId="186" fontId="11" fillId="33" borderId="43" xfId="0" applyNumberFormat="1" applyFont="1" applyFill="1" applyBorder="1" applyAlignment="1">
      <alignment wrapText="1"/>
    </xf>
    <xf numFmtId="0" fontId="15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left" vertical="center"/>
    </xf>
    <xf numFmtId="0" fontId="97" fillId="0" borderId="11" xfId="0" applyFont="1" applyFill="1" applyBorder="1" applyAlignment="1">
      <alignment horizontal="left" vertical="center" wrapText="1"/>
    </xf>
    <xf numFmtId="0" fontId="98" fillId="0" borderId="11" xfId="0" applyFont="1" applyFill="1" applyBorder="1" applyAlignment="1">
      <alignment horizontal="left" vertical="center"/>
    </xf>
    <xf numFmtId="0" fontId="94" fillId="0" borderId="11" xfId="0" applyFont="1" applyFill="1" applyBorder="1" applyAlignment="1">
      <alignment horizontal="center" vertical="center" wrapText="1"/>
    </xf>
    <xf numFmtId="0" fontId="96" fillId="0" borderId="0" xfId="0" applyFont="1" applyFill="1" applyAlignment="1">
      <alignment horizontal="left" vertical="center" wrapText="1"/>
    </xf>
    <xf numFmtId="0" fontId="94" fillId="0" borderId="1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34" borderId="15" xfId="109" applyFont="1" applyFill="1" applyBorder="1" applyAlignment="1">
      <alignment horizontal="center" vertical="center" wrapText="1"/>
      <protection/>
    </xf>
    <xf numFmtId="0" fontId="15" fillId="0" borderId="15" xfId="109" applyFont="1" applyFill="1" applyBorder="1" applyAlignment="1">
      <alignment horizontal="center" vertical="center" wrapText="1"/>
      <protection/>
    </xf>
    <xf numFmtId="0" fontId="10" fillId="34" borderId="15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49" fontId="35" fillId="0" borderId="45" xfId="0" applyNumberFormat="1" applyFont="1" applyFill="1" applyBorder="1" applyAlignment="1">
      <alignment horizontal="center" vertical="center" wrapText="1"/>
    </xf>
    <xf numFmtId="49" fontId="35" fillId="4" borderId="45" xfId="0" applyNumberFormat="1" applyFont="1" applyFill="1" applyBorder="1" applyAlignment="1">
      <alignment horizontal="center" vertical="center" wrapText="1"/>
    </xf>
    <xf numFmtId="0" fontId="95" fillId="0" borderId="12" xfId="0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/>
    </xf>
    <xf numFmtId="0" fontId="11" fillId="0" borderId="4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2" fillId="33" borderId="0" xfId="0" applyFont="1" applyFill="1" applyBorder="1" applyAlignment="1">
      <alignment wrapText="1"/>
    </xf>
    <xf numFmtId="0" fontId="28" fillId="0" borderId="18" xfId="0" applyFont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wrapText="1"/>
    </xf>
    <xf numFmtId="0" fontId="11" fillId="0" borderId="4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37" borderId="0" xfId="0" applyFont="1" applyFill="1" applyBorder="1" applyAlignment="1">
      <alignment horizontal="center"/>
    </xf>
    <xf numFmtId="0" fontId="96" fillId="0" borderId="0" xfId="0" applyFont="1" applyFill="1" applyAlignment="1">
      <alignment horizontal="left" vertical="center" wrapText="1"/>
    </xf>
    <xf numFmtId="0" fontId="14" fillId="33" borderId="0" xfId="0" applyFont="1" applyFill="1" applyBorder="1" applyAlignment="1">
      <alignment/>
    </xf>
    <xf numFmtId="0" fontId="99" fillId="0" borderId="0" xfId="0" applyFont="1" applyAlignment="1">
      <alignment horizontal="justify" vertical="center"/>
    </xf>
    <xf numFmtId="0" fontId="99" fillId="0" borderId="0" xfId="0" applyFont="1" applyAlignment="1">
      <alignment/>
    </xf>
    <xf numFmtId="0" fontId="11" fillId="38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vertical="center" wrapText="1"/>
    </xf>
    <xf numFmtId="0" fontId="94" fillId="0" borderId="15" xfId="0" applyFont="1" applyFill="1" applyBorder="1" applyAlignment="1">
      <alignment horizontal="center" vertical="center" wrapText="1"/>
    </xf>
    <xf numFmtId="0" fontId="100" fillId="0" borderId="12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centerContinuous" vertical="center" wrapText="1"/>
    </xf>
    <xf numFmtId="0" fontId="13" fillId="0" borderId="14" xfId="0" applyFont="1" applyBorder="1" applyAlignment="1">
      <alignment horizontal="centerContinuous"/>
    </xf>
    <xf numFmtId="0" fontId="13" fillId="0" borderId="15" xfId="0" applyFont="1" applyBorder="1" applyAlignment="1">
      <alignment horizontal="centerContinuous"/>
    </xf>
    <xf numFmtId="0" fontId="13" fillId="0" borderId="11" xfId="0" applyFont="1" applyBorder="1" applyAlignment="1">
      <alignment/>
    </xf>
    <xf numFmtId="0" fontId="33" fillId="0" borderId="0" xfId="0" applyFont="1" applyAlignment="1">
      <alignment horizontal="centerContinuous" vertical="top" wrapText="1"/>
    </xf>
    <xf numFmtId="0" fontId="33" fillId="0" borderId="0" xfId="0" applyFont="1" applyAlignment="1">
      <alignment horizontal="centerContinuous" wrapText="1"/>
    </xf>
    <xf numFmtId="0" fontId="15" fillId="0" borderId="11" xfId="0" applyFont="1" applyFill="1" applyBorder="1" applyAlignment="1">
      <alignment horizontal="center" wrapText="1"/>
    </xf>
    <xf numFmtId="0" fontId="37" fillId="0" borderId="0" xfId="0" applyFont="1" applyAlignment="1">
      <alignment wrapText="1"/>
    </xf>
    <xf numFmtId="1" fontId="11" fillId="0" borderId="11" xfId="0" applyNumberFormat="1" applyFont="1" applyFill="1" applyBorder="1" applyAlignment="1">
      <alignment horizontal="center" wrapText="1"/>
    </xf>
    <xf numFmtId="186" fontId="11" fillId="4" borderId="11" xfId="0" applyNumberFormat="1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wrapText="1"/>
    </xf>
    <xf numFmtId="0" fontId="101" fillId="0" borderId="0" xfId="0" applyFont="1" applyAlignment="1">
      <alignment horizontal="right" vertical="center"/>
    </xf>
    <xf numFmtId="0" fontId="101" fillId="0" borderId="0" xfId="0" applyFont="1" applyAlignment="1">
      <alignment/>
    </xf>
    <xf numFmtId="186" fontId="25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/>
    </xf>
    <xf numFmtId="186" fontId="14" fillId="0" borderId="11" xfId="0" applyNumberFormat="1" applyFont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left" wrapText="1"/>
    </xf>
    <xf numFmtId="0" fontId="15" fillId="4" borderId="11" xfId="0" applyFont="1" applyFill="1" applyBorder="1" applyAlignment="1">
      <alignment/>
    </xf>
    <xf numFmtId="0" fontId="11" fillId="4" borderId="11" xfId="0" applyFont="1" applyFill="1" applyBorder="1" applyAlignment="1">
      <alignment/>
    </xf>
    <xf numFmtId="186" fontId="14" fillId="4" borderId="11" xfId="0" applyNumberFormat="1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02" fillId="39" borderId="46" xfId="0" applyFont="1" applyFill="1" applyBorder="1" applyAlignment="1">
      <alignment vertical="center"/>
    </xf>
    <xf numFmtId="0" fontId="103" fillId="39" borderId="46" xfId="0" applyFont="1" applyFill="1" applyBorder="1" applyAlignment="1">
      <alignment horizontal="center" vertical="center" wrapText="1"/>
    </xf>
    <xf numFmtId="0" fontId="102" fillId="39" borderId="46" xfId="0" applyFont="1" applyFill="1" applyBorder="1" applyAlignment="1">
      <alignment vertical="center" wrapText="1"/>
    </xf>
    <xf numFmtId="0" fontId="103" fillId="39" borderId="47" xfId="0" applyFont="1" applyFill="1" applyBorder="1" applyAlignment="1">
      <alignment vertical="center" wrapText="1"/>
    </xf>
    <xf numFmtId="0" fontId="103" fillId="39" borderId="11" xfId="0" applyFont="1" applyFill="1" applyBorder="1" applyAlignment="1">
      <alignment horizontal="center" vertical="center" wrapText="1"/>
    </xf>
    <xf numFmtId="0" fontId="26" fillId="13" borderId="46" xfId="0" applyFont="1" applyFill="1" applyBorder="1" applyAlignment="1">
      <alignment horizontal="center" vertical="center"/>
    </xf>
    <xf numFmtId="0" fontId="26" fillId="13" borderId="47" xfId="0" applyFont="1" applyFill="1" applyBorder="1" applyAlignment="1">
      <alignment vertical="center" wrapText="1"/>
    </xf>
    <xf numFmtId="0" fontId="32" fillId="13" borderId="11" xfId="0" applyFont="1" applyFill="1" applyBorder="1" applyAlignment="1">
      <alignment horizontal="center" vertical="center" wrapText="1"/>
    </xf>
    <xf numFmtId="0" fontId="103" fillId="18" borderId="46" xfId="0" applyFont="1" applyFill="1" applyBorder="1" applyAlignment="1">
      <alignment horizontal="center" vertical="center"/>
    </xf>
    <xf numFmtId="0" fontId="103" fillId="18" borderId="46" xfId="0" applyFont="1" applyFill="1" applyBorder="1" applyAlignment="1">
      <alignment horizontal="center" vertical="center" wrapText="1"/>
    </xf>
    <xf numFmtId="0" fontId="102" fillId="18" borderId="46" xfId="0" applyFont="1" applyFill="1" applyBorder="1" applyAlignment="1">
      <alignment vertical="center" wrapText="1"/>
    </xf>
    <xf numFmtId="0" fontId="103" fillId="18" borderId="46" xfId="0" applyFont="1" applyFill="1" applyBorder="1" applyAlignment="1">
      <alignment vertical="center" wrapText="1"/>
    </xf>
    <xf numFmtId="0" fontId="101" fillId="18" borderId="14" xfId="0" applyFont="1" applyFill="1" applyBorder="1" applyAlignment="1">
      <alignment horizontal="left" wrapText="1"/>
    </xf>
    <xf numFmtId="0" fontId="25" fillId="18" borderId="11" xfId="0" applyFont="1" applyFill="1" applyBorder="1" applyAlignment="1">
      <alignment horizontal="left" wrapText="1"/>
    </xf>
    <xf numFmtId="0" fontId="25" fillId="18" borderId="11" xfId="0" applyFont="1" applyFill="1" applyBorder="1" applyAlignment="1">
      <alignment/>
    </xf>
    <xf numFmtId="186" fontId="25" fillId="18" borderId="11" xfId="0" applyNumberFormat="1" applyFont="1" applyFill="1" applyBorder="1" applyAlignment="1">
      <alignment horizontal="center"/>
    </xf>
    <xf numFmtId="0" fontId="14" fillId="4" borderId="11" xfId="0" applyFont="1" applyFill="1" applyBorder="1" applyAlignment="1">
      <alignment horizontal="left" wrapText="1"/>
    </xf>
    <xf numFmtId="0" fontId="102" fillId="39" borderId="48" xfId="0" applyFont="1" applyFill="1" applyBorder="1" applyAlignment="1">
      <alignment vertical="center" wrapText="1"/>
    </xf>
    <xf numFmtId="0" fontId="102" fillId="39" borderId="49" xfId="0" applyFont="1" applyFill="1" applyBorder="1" applyAlignment="1">
      <alignment vertical="center" wrapText="1"/>
    </xf>
    <xf numFmtId="0" fontId="102" fillId="39" borderId="50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wrapText="1"/>
    </xf>
    <xf numFmtId="0" fontId="26" fillId="13" borderId="51" xfId="0" applyFont="1" applyFill="1" applyBorder="1" applyAlignment="1">
      <alignment horizontal="center" vertical="center"/>
    </xf>
    <xf numFmtId="0" fontId="102" fillId="39" borderId="11" xfId="0" applyFont="1" applyFill="1" applyBorder="1" applyAlignment="1">
      <alignment vertical="center"/>
    </xf>
    <xf numFmtId="0" fontId="103" fillId="18" borderId="48" xfId="0" applyFont="1" applyFill="1" applyBorder="1" applyAlignment="1">
      <alignment horizontal="center" vertical="center"/>
    </xf>
    <xf numFmtId="0" fontId="103" fillId="18" borderId="48" xfId="0" applyFont="1" applyFill="1" applyBorder="1" applyAlignment="1">
      <alignment horizontal="center" vertical="center" wrapText="1"/>
    </xf>
    <xf numFmtId="186" fontId="25" fillId="18" borderId="11" xfId="0" applyNumberFormat="1" applyFont="1" applyFill="1" applyBorder="1" applyAlignment="1">
      <alignment/>
    </xf>
    <xf numFmtId="186" fontId="14" fillId="18" borderId="11" xfId="0" applyNumberFormat="1" applyFont="1" applyFill="1" applyBorder="1" applyAlignment="1">
      <alignment horizontal="center"/>
    </xf>
    <xf numFmtId="203" fontId="14" fillId="13" borderId="11" xfId="106" applyNumberFormat="1" applyFont="1" applyFill="1" applyBorder="1" applyAlignment="1">
      <alignment horizontal="center"/>
    </xf>
    <xf numFmtId="1" fontId="96" fillId="0" borderId="11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6" fillId="0" borderId="15" xfId="0" applyFont="1" applyBorder="1" applyAlignment="1">
      <alignment horizontal="center"/>
    </xf>
    <xf numFmtId="0" fontId="102" fillId="39" borderId="49" xfId="0" applyFont="1" applyFill="1" applyBorder="1" applyAlignment="1">
      <alignment vertical="center"/>
    </xf>
    <xf numFmtId="0" fontId="26" fillId="13" borderId="52" xfId="0" applyFont="1" applyFill="1" applyBorder="1" applyAlignment="1">
      <alignment horizontal="center" vertical="center"/>
    </xf>
    <xf numFmtId="0" fontId="29" fillId="38" borderId="11" xfId="0" applyFont="1" applyFill="1" applyBorder="1" applyAlignment="1">
      <alignment horizontal="left" wrapText="1"/>
    </xf>
    <xf numFmtId="1" fontId="18" fillId="0" borderId="11" xfId="0" applyNumberFormat="1" applyFont="1" applyBorder="1" applyAlignment="1">
      <alignment horizontal="center"/>
    </xf>
    <xf numFmtId="0" fontId="29" fillId="38" borderId="11" xfId="0" applyFont="1" applyFill="1" applyBorder="1" applyAlignment="1">
      <alignment horizontal="left"/>
    </xf>
    <xf numFmtId="1" fontId="30" fillId="10" borderId="11" xfId="0" applyNumberFormat="1" applyFont="1" applyFill="1" applyBorder="1" applyAlignment="1">
      <alignment horizontal="center"/>
    </xf>
    <xf numFmtId="0" fontId="29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15" fillId="0" borderId="11" xfId="0" applyFont="1" applyBorder="1" applyAlignment="1">
      <alignment horizontal="left" wrapText="1"/>
    </xf>
    <xf numFmtId="186" fontId="94" fillId="0" borderId="11" xfId="0" applyNumberFormat="1" applyFont="1" applyBorder="1" applyAlignment="1">
      <alignment horizontal="center"/>
    </xf>
    <xf numFmtId="0" fontId="13" fillId="33" borderId="11" xfId="0" applyFont="1" applyFill="1" applyBorder="1" applyAlignment="1">
      <alignment horizontal="left" indent="2"/>
    </xf>
    <xf numFmtId="0" fontId="32" fillId="33" borderId="11" xfId="0" applyFont="1" applyFill="1" applyBorder="1" applyAlignment="1">
      <alignment horizontal="left" indent="2"/>
    </xf>
    <xf numFmtId="0" fontId="13" fillId="33" borderId="11" xfId="0" applyFont="1" applyFill="1" applyBorder="1" applyAlignment="1">
      <alignment horizontal="left" wrapText="1" indent="2"/>
    </xf>
    <xf numFmtId="0" fontId="104" fillId="33" borderId="39" xfId="0" applyFont="1" applyFill="1" applyBorder="1" applyAlignment="1">
      <alignment horizontal="centerContinuous" wrapText="1"/>
    </xf>
    <xf numFmtId="0" fontId="105" fillId="33" borderId="39" xfId="0" applyFont="1" applyFill="1" applyBorder="1" applyAlignment="1">
      <alignment horizontal="centerContinuous" wrapText="1"/>
    </xf>
    <xf numFmtId="186" fontId="94" fillId="33" borderId="11" xfId="0" applyNumberFormat="1" applyFont="1" applyFill="1" applyBorder="1" applyAlignment="1">
      <alignment horizontal="center" vertical="center" wrapText="1"/>
    </xf>
    <xf numFmtId="186" fontId="94" fillId="0" borderId="11" xfId="0" applyNumberFormat="1" applyFont="1" applyFill="1" applyBorder="1" applyAlignment="1">
      <alignment horizontal="center" vertical="center" wrapText="1"/>
    </xf>
    <xf numFmtId="0" fontId="26" fillId="13" borderId="53" xfId="0" applyFont="1" applyFill="1" applyBorder="1" applyAlignment="1">
      <alignment horizontal="center" vertical="center"/>
    </xf>
    <xf numFmtId="0" fontId="26" fillId="13" borderId="54" xfId="0" applyFont="1" applyFill="1" applyBorder="1" applyAlignment="1">
      <alignment vertical="center" wrapText="1"/>
    </xf>
    <xf numFmtId="0" fontId="10" fillId="38" borderId="0" xfId="0" applyFont="1" applyFill="1" applyBorder="1" applyAlignment="1">
      <alignment horizontal="center" wrapText="1"/>
    </xf>
    <xf numFmtId="0" fontId="15" fillId="0" borderId="17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15" fillId="0" borderId="11" xfId="0" applyFont="1" applyBorder="1" applyAlignment="1">
      <alignment/>
    </xf>
    <xf numFmtId="0" fontId="11" fillId="4" borderId="0" xfId="0" applyFont="1" applyFill="1" applyBorder="1" applyAlignment="1">
      <alignment/>
    </xf>
    <xf numFmtId="0" fontId="102" fillId="39" borderId="55" xfId="0" applyFont="1" applyFill="1" applyBorder="1" applyAlignment="1">
      <alignment vertical="center"/>
    </xf>
    <xf numFmtId="0" fontId="16" fillId="4" borderId="56" xfId="0" applyFont="1" applyFill="1" applyBorder="1" applyAlignment="1">
      <alignment horizontal="center"/>
    </xf>
    <xf numFmtId="186" fontId="11" fillId="0" borderId="11" xfId="71" applyNumberFormat="1" applyFont="1" applyFill="1" applyBorder="1" applyAlignment="1">
      <alignment horizontal="center" wrapText="1"/>
      <protection/>
    </xf>
    <xf numFmtId="0" fontId="94" fillId="0" borderId="11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06" fillId="0" borderId="57" xfId="0" applyFont="1" applyFill="1" applyBorder="1" applyAlignment="1">
      <alignment horizontal="center" vertical="top" wrapText="1"/>
    </xf>
    <xf numFmtId="0" fontId="106" fillId="0" borderId="45" xfId="0" applyFont="1" applyFill="1" applyBorder="1" applyAlignment="1">
      <alignment horizontal="center" vertical="top" wrapText="1"/>
    </xf>
    <xf numFmtId="0" fontId="94" fillId="0" borderId="57" xfId="0" applyFont="1" applyFill="1" applyBorder="1" applyAlignment="1">
      <alignment horizontal="center" vertical="top" wrapText="1"/>
    </xf>
    <xf numFmtId="0" fontId="94" fillId="0" borderId="38" xfId="0" applyFont="1" applyFill="1" applyBorder="1" applyAlignment="1">
      <alignment horizontal="center" vertical="top" wrapText="1"/>
    </xf>
    <xf numFmtId="0" fontId="94" fillId="0" borderId="45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49" fontId="100" fillId="0" borderId="16" xfId="0" applyNumberFormat="1" applyFont="1" applyFill="1" applyBorder="1" applyAlignment="1">
      <alignment horizontal="center" vertical="top" wrapText="1"/>
    </xf>
    <xf numFmtId="49" fontId="100" fillId="0" borderId="17" xfId="0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left" wrapText="1"/>
    </xf>
    <xf numFmtId="0" fontId="96" fillId="0" borderId="0" xfId="0" applyFont="1" applyFill="1" applyAlignment="1">
      <alignment horizontal="left" vertical="center" wrapText="1"/>
    </xf>
    <xf numFmtId="49" fontId="100" fillId="0" borderId="12" xfId="0" applyNumberFormat="1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94" fillId="0" borderId="0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6" fillId="0" borderId="42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0" fontId="16" fillId="0" borderId="58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wrapText="1"/>
    </xf>
    <xf numFmtId="0" fontId="14" fillId="0" borderId="59" xfId="0" applyFont="1" applyBorder="1" applyAlignment="1">
      <alignment horizontal="center" vertical="center"/>
    </xf>
    <xf numFmtId="0" fontId="14" fillId="33" borderId="0" xfId="0" applyFont="1" applyFill="1" applyAlignment="1">
      <alignment horizontal="center" wrapText="1"/>
    </xf>
    <xf numFmtId="0" fontId="14" fillId="0" borderId="37" xfId="0" applyFont="1" applyFill="1" applyBorder="1" applyAlignment="1">
      <alignment horizontal="center" wrapText="1"/>
    </xf>
    <xf numFmtId="0" fontId="14" fillId="0" borderId="41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0" fontId="101" fillId="33" borderId="41" xfId="0" applyFont="1" applyFill="1" applyBorder="1" applyAlignment="1">
      <alignment horizontal="center" wrapText="1"/>
    </xf>
    <xf numFmtId="0" fontId="101" fillId="33" borderId="42" xfId="0" applyFont="1" applyFill="1" applyBorder="1" applyAlignment="1">
      <alignment horizontal="center" wrapText="1"/>
    </xf>
    <xf numFmtId="0" fontId="101" fillId="33" borderId="0" xfId="0" applyFont="1" applyFill="1" applyBorder="1" applyAlignment="1">
      <alignment horizontal="center" wrapText="1"/>
    </xf>
    <xf numFmtId="0" fontId="92" fillId="33" borderId="0" xfId="0" applyFont="1" applyFill="1" applyBorder="1" applyAlignment="1">
      <alignment horizontal="left" wrapText="1"/>
    </xf>
    <xf numFmtId="0" fontId="34" fillId="0" borderId="0" xfId="0" applyFont="1" applyAlignment="1">
      <alignment horizontal="center" wrapText="1"/>
    </xf>
    <xf numFmtId="0" fontId="14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</cellXfs>
  <cellStyles count="10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10" xfId="33"/>
    <cellStyle name="Comma 2" xfId="34"/>
    <cellStyle name="Comma 2 2" xfId="35"/>
    <cellStyle name="Comma 2 3" xfId="36"/>
    <cellStyle name="Comma 2 4" xfId="37"/>
    <cellStyle name="Comma 3" xfId="38"/>
    <cellStyle name="Comma 3 2" xfId="39"/>
    <cellStyle name="Comma 3 2 2" xfId="40"/>
    <cellStyle name="Comma 3 3" xfId="41"/>
    <cellStyle name="Comma 4" xfId="42"/>
    <cellStyle name="Comma 5" xfId="43"/>
    <cellStyle name="Comma 6" xfId="44"/>
    <cellStyle name="Comma 6 2" xfId="45"/>
    <cellStyle name="Comma 6 2 2" xfId="46"/>
    <cellStyle name="Comma 6 3" xfId="47"/>
    <cellStyle name="Comma 7" xfId="48"/>
    <cellStyle name="Comma 7 2" xfId="49"/>
    <cellStyle name="Comma 7 2 2" xfId="50"/>
    <cellStyle name="Comma 7 3" xfId="51"/>
    <cellStyle name="Comma 8" xfId="52"/>
    <cellStyle name="Comma 9" xfId="53"/>
    <cellStyle name="Normal 10" xfId="54"/>
    <cellStyle name="Normal 11" xfId="55"/>
    <cellStyle name="Normal 12" xfId="56"/>
    <cellStyle name="Normal 13" xfId="57"/>
    <cellStyle name="Normal 2" xfId="58"/>
    <cellStyle name="Normal 2 2" xfId="59"/>
    <cellStyle name="Normal 2 3" xfId="60"/>
    <cellStyle name="Normal 2 3 2" xfId="61"/>
    <cellStyle name="Normal 3" xfId="62"/>
    <cellStyle name="Normal 3 2" xfId="63"/>
    <cellStyle name="Normal 4" xfId="64"/>
    <cellStyle name="Normal 4 2" xfId="65"/>
    <cellStyle name="Normal 5" xfId="66"/>
    <cellStyle name="Normal 6" xfId="67"/>
    <cellStyle name="Normal 6 2" xfId="68"/>
    <cellStyle name="Normal 6 2 2" xfId="69"/>
    <cellStyle name="Normal 6 3" xfId="70"/>
    <cellStyle name="Normal 7" xfId="71"/>
    <cellStyle name="Normal 8" xfId="72"/>
    <cellStyle name="Normal 8 2" xfId="73"/>
    <cellStyle name="Normal 9" xfId="74"/>
    <cellStyle name="Style 1" xfId="75"/>
    <cellStyle name="Style 1 2" xfId="76"/>
    <cellStyle name="Style 1 3" xfId="77"/>
    <cellStyle name="Style 1 4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Hyperlink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Обычный 2" xfId="99"/>
    <cellStyle name="Обычный 3" xfId="100"/>
    <cellStyle name="Обычный 4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Стиль 1" xfId="108"/>
    <cellStyle name="Стиль 1 2" xfId="109"/>
    <cellStyle name="Стиль 1 2 2" xfId="110"/>
    <cellStyle name="Стиль 1 2 3" xfId="111"/>
    <cellStyle name="Текст предупреждения" xfId="112"/>
    <cellStyle name="Comma" xfId="113"/>
    <cellStyle name="Comma [0]" xfId="114"/>
    <cellStyle name="Финансовый 2" xfId="115"/>
    <cellStyle name="Финансовый 2 2" xfId="116"/>
    <cellStyle name="Финансовый 3" xfId="117"/>
    <cellStyle name="Финансовый 3 2" xfId="118"/>
    <cellStyle name="Финансовый 4" xfId="119"/>
    <cellStyle name="Хороший" xfId="120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3" width="7.28125" style="19" customWidth="1"/>
    <col min="4" max="4" width="9.140625" style="19" customWidth="1"/>
    <col min="5" max="5" width="12.28125" style="19" customWidth="1"/>
    <col min="6" max="6" width="45.140625" style="19" customWidth="1"/>
    <col min="7" max="11" width="12.8515625" style="18" customWidth="1"/>
    <col min="12" max="16384" width="9.140625" style="19" customWidth="1"/>
  </cols>
  <sheetData>
    <row r="1" spans="7:11" s="31" customFormat="1" ht="23.25" customHeight="1">
      <c r="G1" s="2"/>
      <c r="H1" s="3" t="s">
        <v>8</v>
      </c>
      <c r="I1" s="3"/>
      <c r="J1" s="3"/>
      <c r="K1" s="3"/>
    </row>
    <row r="2" spans="7:11" s="31" customFormat="1" ht="15">
      <c r="G2" s="3"/>
      <c r="H2" s="3"/>
      <c r="I2" s="3" t="s">
        <v>9</v>
      </c>
      <c r="J2" s="3"/>
      <c r="K2" s="3"/>
    </row>
    <row r="3" spans="1:11" s="31" customFormat="1" ht="27" customHeight="1" thickBot="1">
      <c r="A3" s="472" t="s">
        <v>389</v>
      </c>
      <c r="B3" s="472"/>
      <c r="C3" s="472"/>
      <c r="D3" s="472"/>
      <c r="E3" s="472"/>
      <c r="F3" s="472"/>
      <c r="G3" s="472"/>
      <c r="H3" s="3"/>
      <c r="I3" s="3"/>
      <c r="J3" s="3"/>
      <c r="K3" s="3"/>
    </row>
    <row r="4" spans="1:11" s="31" customFormat="1" ht="15">
      <c r="A4" s="471" t="s">
        <v>10</v>
      </c>
      <c r="B4" s="471"/>
      <c r="C4" s="471"/>
      <c r="D4" s="471"/>
      <c r="G4" s="23"/>
      <c r="H4" s="3"/>
      <c r="I4" s="3"/>
      <c r="J4" s="3"/>
      <c r="K4" s="3"/>
    </row>
    <row r="5" spans="7:11" s="31" customFormat="1" ht="15">
      <c r="G5" s="10"/>
      <c r="H5" s="10"/>
      <c r="I5" s="10"/>
      <c r="J5" s="10"/>
      <c r="K5" s="10"/>
    </row>
    <row r="6" spans="7:11" s="31" customFormat="1" ht="13.5" customHeight="1">
      <c r="G6" s="9"/>
      <c r="H6" s="10"/>
      <c r="I6" s="370" t="s">
        <v>228</v>
      </c>
      <c r="J6" s="370" t="s">
        <v>228</v>
      </c>
      <c r="K6" s="370" t="s">
        <v>228</v>
      </c>
    </row>
    <row r="7" spans="1:12" s="222" customFormat="1" ht="13.5" customHeight="1">
      <c r="A7" s="463" t="s">
        <v>210</v>
      </c>
      <c r="B7" s="463" t="s">
        <v>211</v>
      </c>
      <c r="C7" s="463" t="s">
        <v>212</v>
      </c>
      <c r="D7" s="463" t="s">
        <v>213</v>
      </c>
      <c r="E7" s="463"/>
      <c r="F7" s="463" t="s">
        <v>224</v>
      </c>
      <c r="G7" s="464" t="s">
        <v>246</v>
      </c>
      <c r="H7" s="464" t="s">
        <v>247</v>
      </c>
      <c r="I7" s="464" t="s">
        <v>239</v>
      </c>
      <c r="J7" s="464" t="s">
        <v>240</v>
      </c>
      <c r="K7" s="464" t="s">
        <v>248</v>
      </c>
      <c r="L7" s="221"/>
    </row>
    <row r="8" spans="1:12" s="222" customFormat="1" ht="26.25" customHeight="1">
      <c r="A8" s="463"/>
      <c r="B8" s="463"/>
      <c r="C8" s="463"/>
      <c r="D8" s="339" t="s">
        <v>214</v>
      </c>
      <c r="E8" s="339" t="s">
        <v>215</v>
      </c>
      <c r="F8" s="463"/>
      <c r="G8" s="465"/>
      <c r="H8" s="465"/>
      <c r="I8" s="465"/>
      <c r="J8" s="465"/>
      <c r="K8" s="465"/>
      <c r="L8" s="221"/>
    </row>
    <row r="9" spans="1:12" s="222" customFormat="1" ht="10.5">
      <c r="A9" s="361">
        <v>1</v>
      </c>
      <c r="B9" s="361">
        <v>2</v>
      </c>
      <c r="C9" s="361">
        <v>3</v>
      </c>
      <c r="D9" s="361">
        <v>4</v>
      </c>
      <c r="E9" s="341">
        <v>5</v>
      </c>
      <c r="F9" s="341">
        <v>6</v>
      </c>
      <c r="G9" s="341">
        <v>7</v>
      </c>
      <c r="H9" s="341">
        <v>8</v>
      </c>
      <c r="I9" s="341">
        <v>9</v>
      </c>
      <c r="J9" s="341">
        <v>10</v>
      </c>
      <c r="K9" s="341">
        <v>11</v>
      </c>
      <c r="L9" s="221"/>
    </row>
    <row r="10" spans="1:11" ht="15">
      <c r="A10" s="381"/>
      <c r="B10" s="381"/>
      <c r="C10" s="381"/>
      <c r="D10" s="381">
        <v>1092</v>
      </c>
      <c r="E10" s="380"/>
      <c r="F10" s="340" t="s">
        <v>216</v>
      </c>
      <c r="G10" s="25"/>
      <c r="H10" s="25"/>
      <c r="I10" s="25"/>
      <c r="J10" s="25"/>
      <c r="K10" s="25"/>
    </row>
    <row r="11" spans="1:11" ht="24.75" customHeight="1">
      <c r="A11" s="473"/>
      <c r="B11" s="473"/>
      <c r="C11" s="473"/>
      <c r="D11" s="473"/>
      <c r="E11" s="468"/>
      <c r="F11" s="348" t="s">
        <v>709</v>
      </c>
      <c r="G11" s="17"/>
      <c r="H11" s="17"/>
      <c r="I11" s="17"/>
      <c r="J11" s="17"/>
      <c r="K11" s="17"/>
    </row>
    <row r="12" spans="1:11" ht="31.5" customHeight="1">
      <c r="A12" s="473"/>
      <c r="B12" s="473"/>
      <c r="C12" s="473"/>
      <c r="D12" s="473"/>
      <c r="E12" s="469"/>
      <c r="F12" s="232" t="s">
        <v>227</v>
      </c>
      <c r="G12" s="17">
        <f>+G15+G17</f>
        <v>679010.8999999999</v>
      </c>
      <c r="H12" s="17">
        <f>+H15+H17</f>
        <v>704624.5999999999</v>
      </c>
      <c r="I12" s="17">
        <f>+I15+I19+I17</f>
        <v>871602.656</v>
      </c>
      <c r="J12" s="17">
        <f>+J15+J17</f>
        <v>859259.832</v>
      </c>
      <c r="K12" s="17">
        <f>+K15+K17</f>
        <v>870282.462</v>
      </c>
    </row>
    <row r="13" spans="1:11" ht="24" customHeight="1">
      <c r="A13" s="473"/>
      <c r="B13" s="473"/>
      <c r="C13" s="473"/>
      <c r="D13" s="473"/>
      <c r="E13" s="470"/>
      <c r="F13" s="349" t="s">
        <v>216</v>
      </c>
      <c r="G13" s="17"/>
      <c r="H13" s="17"/>
      <c r="I13" s="17"/>
      <c r="J13" s="17"/>
      <c r="K13" s="17"/>
    </row>
    <row r="14" spans="1:11" ht="31.5" customHeight="1">
      <c r="A14" s="473"/>
      <c r="B14" s="473"/>
      <c r="C14" s="473"/>
      <c r="D14" s="473"/>
      <c r="E14" s="466">
        <v>11001</v>
      </c>
      <c r="F14" s="348" t="s">
        <v>390</v>
      </c>
      <c r="G14" s="17"/>
      <c r="H14" s="17"/>
      <c r="I14" s="17"/>
      <c r="J14" s="17"/>
      <c r="K14" s="17"/>
    </row>
    <row r="15" spans="1:11" ht="31.5" customHeight="1">
      <c r="A15" s="473"/>
      <c r="B15" s="473"/>
      <c r="C15" s="473"/>
      <c r="D15" s="473"/>
      <c r="E15" s="467"/>
      <c r="F15" s="232" t="s">
        <v>229</v>
      </c>
      <c r="G15" s="17">
        <f>+'2-ԸՆԴԱՄԵՆԸ ԾԱԽՍԵՐ'!E16</f>
        <v>665793.7999999999</v>
      </c>
      <c r="H15" s="17">
        <f>+'2-ԸՆԴԱՄԵՆԸ ԾԱԽՍԵՐ'!F16</f>
        <v>690808.3999999999</v>
      </c>
      <c r="I15" s="17">
        <f>+'2-ԸՆԴԱՄԵՆԸ ԾԱԽՍԵՐ'!G16</f>
        <v>839007.8</v>
      </c>
      <c r="J15" s="17">
        <f>+'2-ԸՆԴԱՄԵՆԸ ԾԱԽՍԵՐ'!K16</f>
        <v>842411.6000000001</v>
      </c>
      <c r="K15" s="17">
        <f>+'2-ԸՆԴԱՄԵՆԸ ԾԱԽՍԵՐ'!L16</f>
        <v>853218.1000000001</v>
      </c>
    </row>
    <row r="16" spans="1:11" ht="31.5" customHeight="1">
      <c r="A16" s="473"/>
      <c r="B16" s="473"/>
      <c r="C16" s="473"/>
      <c r="D16" s="473"/>
      <c r="E16" s="466">
        <v>11002</v>
      </c>
      <c r="F16" s="348" t="s">
        <v>708</v>
      </c>
      <c r="G16" s="17"/>
      <c r="H16" s="17"/>
      <c r="I16" s="17"/>
      <c r="J16" s="17"/>
      <c r="K16" s="17"/>
    </row>
    <row r="17" spans="1:11" ht="31.5" customHeight="1">
      <c r="A17" s="473"/>
      <c r="B17" s="473"/>
      <c r="C17" s="473"/>
      <c r="D17" s="473"/>
      <c r="E17" s="467"/>
      <c r="F17" s="232" t="s">
        <v>229</v>
      </c>
      <c r="G17" s="17">
        <v>13217.1</v>
      </c>
      <c r="H17" s="17">
        <v>13816.2</v>
      </c>
      <c r="I17" s="17">
        <f>+I15*2%</f>
        <v>16780.156000000003</v>
      </c>
      <c r="J17" s="17">
        <f>+J15*2%</f>
        <v>16848.232000000004</v>
      </c>
      <c r="K17" s="17">
        <f>+K15*2%</f>
        <v>17064.362</v>
      </c>
    </row>
    <row r="18" spans="1:11" ht="31.5" customHeight="1">
      <c r="A18" s="473"/>
      <c r="B18" s="473"/>
      <c r="C18" s="473"/>
      <c r="D18" s="473"/>
      <c r="E18" s="466">
        <v>31001</v>
      </c>
      <c r="F18" s="348" t="s">
        <v>707</v>
      </c>
      <c r="G18" s="17"/>
      <c r="H18" s="17"/>
      <c r="I18" s="17"/>
      <c r="J18" s="17"/>
      <c r="K18" s="17"/>
    </row>
    <row r="19" spans="1:11" ht="47.25" customHeight="1">
      <c r="A19" s="474"/>
      <c r="B19" s="474"/>
      <c r="C19" s="474"/>
      <c r="D19" s="474"/>
      <c r="E19" s="467"/>
      <c r="F19" s="232" t="s">
        <v>230</v>
      </c>
      <c r="G19" s="17">
        <f>+'2-ԸՆԴԱՄԵՆԸ ԾԱԽՍԵՐ'!E88</f>
        <v>0</v>
      </c>
      <c r="H19" s="17">
        <f>+'2-ԸՆԴԱՄԵՆԸ ԾԱԽՍԵՐ'!F88</f>
        <v>0</v>
      </c>
      <c r="I19" s="17">
        <f>+'2-ԸՆԴԱՄԵՆԸ ԾԱԽՍԵՐ'!G88</f>
        <v>15814.7</v>
      </c>
      <c r="J19" s="17">
        <f>+'2-ԸՆԴԱՄԵՆԸ ԾԱԽՍԵՐ'!K88</f>
        <v>0</v>
      </c>
      <c r="K19" s="17">
        <f>+'2-ԸՆԴԱՄԵՆԸ ԾԱԽՍԵՐ'!L88</f>
        <v>0</v>
      </c>
    </row>
  </sheetData>
  <sheetProtection/>
  <mergeCells count="20">
    <mergeCell ref="A4:D4"/>
    <mergeCell ref="J7:J8"/>
    <mergeCell ref="K7:K8"/>
    <mergeCell ref="A3:G3"/>
    <mergeCell ref="A11:A19"/>
    <mergeCell ref="B11:B19"/>
    <mergeCell ref="C11:C19"/>
    <mergeCell ref="G7:G8"/>
    <mergeCell ref="I7:I8"/>
    <mergeCell ref="D11:D19"/>
    <mergeCell ref="A7:A8"/>
    <mergeCell ref="F7:F8"/>
    <mergeCell ref="H7:H8"/>
    <mergeCell ref="C7:C8"/>
    <mergeCell ref="E18:E19"/>
    <mergeCell ref="E14:E15"/>
    <mergeCell ref="D7:E7"/>
    <mergeCell ref="E11:E13"/>
    <mergeCell ref="B7:B8"/>
    <mergeCell ref="E16:E17"/>
  </mergeCells>
  <printOptions/>
  <pageMargins left="0.17" right="0.17" top="1" bottom="1" header="0.26" footer="0.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3">
      <selection activeCell="C20" sqref="C20"/>
    </sheetView>
  </sheetViews>
  <sheetFormatPr defaultColWidth="9.140625" defaultRowHeight="12.75"/>
  <cols>
    <col min="1" max="1" width="6.28125" style="202" customWidth="1"/>
    <col min="2" max="2" width="36.00390625" style="203" customWidth="1"/>
    <col min="3" max="3" width="80.140625" style="203" customWidth="1"/>
    <col min="4" max="4" width="24.28125" style="203" customWidth="1"/>
    <col min="5" max="16384" width="9.140625" style="203" customWidth="1"/>
  </cols>
  <sheetData>
    <row r="1" spans="1:4" s="253" customFormat="1" ht="18">
      <c r="A1" s="204"/>
      <c r="B1" s="505"/>
      <c r="C1" s="505"/>
      <c r="D1" s="455" t="s">
        <v>154</v>
      </c>
    </row>
    <row r="2" spans="1:4" s="253" customFormat="1" ht="17.25" customHeight="1">
      <c r="A2" s="204"/>
      <c r="D2" s="392" t="s">
        <v>9</v>
      </c>
    </row>
    <row r="3" spans="1:3" s="253" customFormat="1" ht="18" thickBot="1">
      <c r="A3" s="204"/>
      <c r="B3" s="205" t="s">
        <v>389</v>
      </c>
      <c r="C3" s="205"/>
    </row>
    <row r="4" spans="1:3" s="254" customFormat="1" ht="27" customHeight="1">
      <c r="A4" s="204"/>
      <c r="B4" s="285" t="s">
        <v>10</v>
      </c>
      <c r="C4" s="285"/>
    </row>
    <row r="5" spans="1:3" s="253" customFormat="1" ht="22.5" customHeight="1">
      <c r="A5" s="303" t="s">
        <v>178</v>
      </c>
      <c r="B5" s="303"/>
      <c r="C5" s="303"/>
    </row>
    <row r="6" spans="1:3" s="253" customFormat="1" ht="22.5" customHeight="1">
      <c r="A6" s="303" t="s">
        <v>270</v>
      </c>
      <c r="B6" s="303"/>
      <c r="C6" s="303"/>
    </row>
    <row r="7" spans="1:3" s="254" customFormat="1" ht="17.25">
      <c r="A7" s="204"/>
      <c r="B7" s="206"/>
      <c r="C7" s="206"/>
    </row>
    <row r="8" spans="1:3" ht="54.75" customHeight="1">
      <c r="A8" s="272">
        <v>1</v>
      </c>
      <c r="B8" s="229" t="s">
        <v>265</v>
      </c>
      <c r="C8" s="385" t="s">
        <v>389</v>
      </c>
    </row>
    <row r="9" spans="1:3" ht="38.25" customHeight="1">
      <c r="A9" s="272">
        <v>2</v>
      </c>
      <c r="B9" s="229" t="s">
        <v>266</v>
      </c>
      <c r="C9" s="385" t="s">
        <v>675</v>
      </c>
    </row>
    <row r="10" spans="1:3" ht="51.75" customHeight="1">
      <c r="A10" s="272">
        <v>3</v>
      </c>
      <c r="B10" s="229" t="s">
        <v>267</v>
      </c>
      <c r="C10" s="385" t="s">
        <v>676</v>
      </c>
    </row>
    <row r="11" spans="1:3" ht="38.25" customHeight="1">
      <c r="A11" s="272">
        <v>4</v>
      </c>
      <c r="B11" s="229" t="s">
        <v>261</v>
      </c>
      <c r="C11" s="385" t="s">
        <v>677</v>
      </c>
    </row>
    <row r="12" spans="1:3" ht="47.25" customHeight="1">
      <c r="A12" s="272">
        <v>5</v>
      </c>
      <c r="B12" s="229" t="s">
        <v>268</v>
      </c>
      <c r="C12" s="385"/>
    </row>
    <row r="13" spans="1:3" ht="67.5" customHeight="1">
      <c r="A13" s="202" t="s">
        <v>6</v>
      </c>
      <c r="B13" s="386" t="s">
        <v>269</v>
      </c>
      <c r="C13" s="387"/>
    </row>
    <row r="14" spans="1:3" ht="34.5" customHeight="1">
      <c r="A14" s="382" t="s">
        <v>263</v>
      </c>
      <c r="B14" s="383"/>
      <c r="C14" s="384"/>
    </row>
    <row r="15" spans="1:3" ht="40.5">
      <c r="A15" s="382"/>
      <c r="B15" s="24" t="s">
        <v>262</v>
      </c>
      <c r="C15" s="104" t="s">
        <v>264</v>
      </c>
    </row>
    <row r="16" spans="1:3" ht="17.25">
      <c r="A16" s="208">
        <v>1</v>
      </c>
      <c r="B16" s="98" t="s">
        <v>678</v>
      </c>
      <c r="C16" s="209">
        <v>7622.4</v>
      </c>
    </row>
    <row r="17" spans="1:3" ht="17.25">
      <c r="A17" s="208">
        <v>2</v>
      </c>
      <c r="B17" s="209"/>
      <c r="C17" s="209"/>
    </row>
    <row r="18" spans="1:3" ht="17.25">
      <c r="A18" s="208">
        <v>3</v>
      </c>
      <c r="B18" s="209"/>
      <c r="C18" s="209"/>
    </row>
    <row r="19" spans="1:3" ht="17.25">
      <c r="A19" s="208" t="s">
        <v>173</v>
      </c>
      <c r="B19" s="209"/>
      <c r="C19" s="209"/>
    </row>
    <row r="20" spans="1:3" s="172" customFormat="1" ht="32.25" customHeight="1">
      <c r="A20" s="329"/>
      <c r="B20" s="331" t="s">
        <v>188</v>
      </c>
      <c r="C20" s="330">
        <f>SUM(C16:C19)</f>
        <v>7622.4</v>
      </c>
    </row>
  </sheetData>
  <sheetProtection/>
  <mergeCells count="1">
    <mergeCell ref="B1:C1"/>
  </mergeCells>
  <printOptions/>
  <pageMargins left="0.35" right="0.35" top="0.29" bottom="0.37" header="0.21" footer="0.16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31">
      <selection activeCell="B9" sqref="B9:C9"/>
    </sheetView>
  </sheetViews>
  <sheetFormatPr defaultColWidth="9.140625" defaultRowHeight="12.75"/>
  <cols>
    <col min="1" max="1" width="6.28125" style="4" customWidth="1"/>
    <col min="2" max="2" width="70.8515625" style="5" customWidth="1"/>
    <col min="3" max="3" width="18.00390625" style="5" customWidth="1"/>
    <col min="4" max="16384" width="9.140625" style="5" customWidth="1"/>
  </cols>
  <sheetData>
    <row r="1" spans="1:3" s="31" customFormat="1" ht="15">
      <c r="A1" s="30"/>
      <c r="C1" s="36" t="s">
        <v>154</v>
      </c>
    </row>
    <row r="2" spans="1:3" s="31" customFormat="1" ht="15">
      <c r="A2" s="30"/>
      <c r="C2" s="375" t="s">
        <v>9</v>
      </c>
    </row>
    <row r="3" spans="1:3" s="31" customFormat="1" ht="15" thickBot="1">
      <c r="A3" s="30"/>
      <c r="B3" s="22" t="s">
        <v>391</v>
      </c>
      <c r="C3" s="22"/>
    </row>
    <row r="4" spans="1:8" s="284" customFormat="1" ht="17.25" customHeight="1">
      <c r="A4" s="252"/>
      <c r="B4" s="509" t="s">
        <v>10</v>
      </c>
      <c r="C4" s="509"/>
      <c r="D4" s="263"/>
      <c r="E4" s="263"/>
      <c r="F4" s="263"/>
      <c r="G4" s="263"/>
      <c r="H4" s="263"/>
    </row>
    <row r="5" spans="1:3" s="31" customFormat="1" ht="24" customHeight="1">
      <c r="A5" s="507" t="s">
        <v>128</v>
      </c>
      <c r="B5" s="507"/>
      <c r="C5" s="507"/>
    </row>
    <row r="6" spans="1:3" s="31" customFormat="1" ht="15">
      <c r="A6" s="508" t="s">
        <v>181</v>
      </c>
      <c r="B6" s="508"/>
      <c r="C6" s="508"/>
    </row>
    <row r="7" spans="1:3" s="171" customFormat="1" ht="15">
      <c r="A7" s="30"/>
      <c r="B7" s="170"/>
      <c r="C7" s="170"/>
    </row>
    <row r="8" spans="1:3" s="172" customFormat="1" ht="17.25">
      <c r="A8" s="30"/>
      <c r="B8" s="450" t="s">
        <v>406</v>
      </c>
      <c r="C8" s="449"/>
    </row>
    <row r="9" spans="1:3" s="172" customFormat="1" ht="31.5" customHeight="1">
      <c r="A9" s="30"/>
      <c r="B9" s="506" t="s">
        <v>186</v>
      </c>
      <c r="C9" s="506"/>
    </row>
    <row r="10" spans="1:3" s="172" customFormat="1" ht="15">
      <c r="A10" s="30"/>
      <c r="B10" s="170"/>
      <c r="C10" s="170"/>
    </row>
    <row r="11" spans="1:3" s="172" customFormat="1" ht="35.25" customHeight="1">
      <c r="A11" s="207" t="s">
        <v>95</v>
      </c>
      <c r="B11" s="29" t="s">
        <v>155</v>
      </c>
      <c r="C11" s="29" t="s">
        <v>156</v>
      </c>
    </row>
    <row r="12" spans="1:3" s="172" customFormat="1" ht="15">
      <c r="A12" s="207">
        <v>1</v>
      </c>
      <c r="B12" s="29">
        <v>2</v>
      </c>
      <c r="C12" s="29">
        <v>3</v>
      </c>
    </row>
    <row r="13" spans="1:3" ht="15">
      <c r="A13" s="207" t="s">
        <v>2</v>
      </c>
      <c r="B13" s="213" t="s">
        <v>223</v>
      </c>
      <c r="C13" s="207">
        <f>+C14+C15</f>
        <v>9</v>
      </c>
    </row>
    <row r="14" spans="1:3" ht="17.25">
      <c r="A14" s="207"/>
      <c r="B14" s="446" t="s">
        <v>392</v>
      </c>
      <c r="C14" s="207">
        <v>1</v>
      </c>
    </row>
    <row r="15" spans="1:3" ht="17.25">
      <c r="A15" s="207"/>
      <c r="B15" s="446" t="s">
        <v>393</v>
      </c>
      <c r="C15" s="207">
        <v>8</v>
      </c>
    </row>
    <row r="16" spans="1:3" ht="18">
      <c r="A16" s="207" t="s">
        <v>3</v>
      </c>
      <c r="B16" s="447" t="s">
        <v>302</v>
      </c>
      <c r="C16" s="207">
        <f>+C17</f>
        <v>1</v>
      </c>
    </row>
    <row r="17" spans="1:3" ht="17.25">
      <c r="A17" s="207"/>
      <c r="B17" s="446" t="s">
        <v>394</v>
      </c>
      <c r="C17" s="207">
        <v>1</v>
      </c>
    </row>
    <row r="18" spans="1:3" ht="15">
      <c r="A18" s="207" t="s">
        <v>4</v>
      </c>
      <c r="B18" s="213" t="s">
        <v>182</v>
      </c>
      <c r="C18" s="378">
        <f>+C20+C21+C22+C19</f>
        <v>15</v>
      </c>
    </row>
    <row r="19" spans="1:3" ht="17.25">
      <c r="A19" s="207"/>
      <c r="B19" s="446" t="s">
        <v>395</v>
      </c>
      <c r="C19" s="207">
        <v>3</v>
      </c>
    </row>
    <row r="20" spans="1:3" ht="17.25">
      <c r="A20" s="207"/>
      <c r="B20" s="446" t="s">
        <v>396</v>
      </c>
      <c r="C20" s="207">
        <v>3</v>
      </c>
    </row>
    <row r="21" spans="1:3" ht="17.25">
      <c r="A21" s="207"/>
      <c r="B21" s="446" t="s">
        <v>397</v>
      </c>
      <c r="C21" s="207">
        <v>1</v>
      </c>
    </row>
    <row r="22" spans="1:3" ht="17.25">
      <c r="A22" s="207"/>
      <c r="B22" s="446" t="s">
        <v>398</v>
      </c>
      <c r="C22" s="207">
        <v>8</v>
      </c>
    </row>
    <row r="23" spans="1:3" ht="17.25">
      <c r="A23" s="208" t="s">
        <v>184</v>
      </c>
      <c r="B23" s="213" t="s">
        <v>399</v>
      </c>
      <c r="C23" s="378">
        <f>+C25+C26+C27+C24+C28+C29+C30+C31</f>
        <v>8</v>
      </c>
    </row>
    <row r="24" spans="1:3" ht="17.25">
      <c r="A24" s="207"/>
      <c r="B24" s="448" t="s">
        <v>400</v>
      </c>
      <c r="C24" s="207">
        <v>1</v>
      </c>
    </row>
    <row r="25" spans="1:3" ht="17.25">
      <c r="A25" s="207"/>
      <c r="B25" s="448" t="s">
        <v>401</v>
      </c>
      <c r="C25" s="207">
        <v>1</v>
      </c>
    </row>
    <row r="26" spans="1:3" ht="39" customHeight="1">
      <c r="A26" s="207"/>
      <c r="B26" s="448" t="s">
        <v>402</v>
      </c>
      <c r="C26" s="207">
        <v>1</v>
      </c>
    </row>
    <row r="27" spans="1:3" ht="17.25">
      <c r="A27" s="207"/>
      <c r="B27" s="446" t="s">
        <v>303</v>
      </c>
      <c r="C27" s="207">
        <v>1</v>
      </c>
    </row>
    <row r="28" spans="1:3" ht="17.25">
      <c r="A28" s="207"/>
      <c r="B28" s="446" t="s">
        <v>403</v>
      </c>
      <c r="C28" s="207">
        <v>1</v>
      </c>
    </row>
    <row r="29" spans="1:3" ht="17.25">
      <c r="A29" s="207"/>
      <c r="B29" s="446" t="s">
        <v>404</v>
      </c>
      <c r="C29" s="207">
        <v>1</v>
      </c>
    </row>
    <row r="30" spans="1:3" ht="17.25">
      <c r="A30" s="207"/>
      <c r="B30" s="446" t="s">
        <v>405</v>
      </c>
      <c r="C30" s="207">
        <v>1</v>
      </c>
    </row>
    <row r="31" spans="1:3" ht="17.25">
      <c r="A31" s="207"/>
      <c r="B31" s="446" t="s">
        <v>304</v>
      </c>
      <c r="C31" s="207">
        <v>1</v>
      </c>
    </row>
    <row r="32" spans="1:3" ht="35.25" customHeight="1">
      <c r="A32" s="208" t="s">
        <v>7</v>
      </c>
      <c r="B32" s="213" t="s">
        <v>219</v>
      </c>
      <c r="C32" s="207">
        <v>46</v>
      </c>
    </row>
    <row r="33" spans="1:3" ht="15">
      <c r="A33" s="207"/>
      <c r="B33" s="213" t="s">
        <v>220</v>
      </c>
      <c r="C33" s="207"/>
    </row>
    <row r="34" spans="1:3" ht="15">
      <c r="A34" s="210" t="s">
        <v>222</v>
      </c>
      <c r="B34" s="28" t="s">
        <v>221</v>
      </c>
      <c r="C34" s="207">
        <f>+C35+C38</f>
        <v>46</v>
      </c>
    </row>
    <row r="35" spans="1:3" ht="15">
      <c r="A35" s="207"/>
      <c r="B35" s="213" t="s">
        <v>157</v>
      </c>
      <c r="C35" s="207">
        <f>SUM(C37:C37)</f>
        <v>19</v>
      </c>
    </row>
    <row r="36" spans="1:8" ht="15">
      <c r="A36" s="207"/>
      <c r="B36" s="98" t="s">
        <v>149</v>
      </c>
      <c r="C36" s="207"/>
      <c r="F36" s="376"/>
      <c r="H36" s="377"/>
    </row>
    <row r="37" spans="1:3" ht="15">
      <c r="A37" s="207"/>
      <c r="B37" s="98" t="s">
        <v>305</v>
      </c>
      <c r="C37" s="207">
        <v>19</v>
      </c>
    </row>
    <row r="38" spans="1:3" ht="15">
      <c r="A38" s="207"/>
      <c r="B38" s="213" t="s">
        <v>158</v>
      </c>
      <c r="C38" s="207">
        <f>SUM(C40:C44)</f>
        <v>27</v>
      </c>
    </row>
    <row r="39" spans="1:3" ht="15">
      <c r="A39" s="207"/>
      <c r="B39" s="98" t="s">
        <v>149</v>
      </c>
      <c r="C39" s="207"/>
    </row>
    <row r="40" spans="1:3" ht="15">
      <c r="A40" s="207">
        <v>1</v>
      </c>
      <c r="B40" s="98" t="s">
        <v>306</v>
      </c>
      <c r="C40" s="207">
        <v>9</v>
      </c>
    </row>
    <row r="41" spans="1:3" ht="15">
      <c r="A41" s="207">
        <v>2</v>
      </c>
      <c r="B41" s="98" t="s">
        <v>307</v>
      </c>
      <c r="C41" s="207">
        <v>3</v>
      </c>
    </row>
    <row r="42" spans="1:3" ht="15">
      <c r="A42" s="207">
        <v>3</v>
      </c>
      <c r="B42" s="98" t="s">
        <v>308</v>
      </c>
      <c r="C42" s="207">
        <v>5</v>
      </c>
    </row>
    <row r="43" spans="1:3" ht="15">
      <c r="A43" s="207">
        <v>4</v>
      </c>
      <c r="B43" s="98" t="s">
        <v>309</v>
      </c>
      <c r="C43" s="207">
        <v>6</v>
      </c>
    </row>
    <row r="44" spans="1:3" ht="15">
      <c r="A44" s="207">
        <v>5</v>
      </c>
      <c r="B44" s="98" t="s">
        <v>310</v>
      </c>
      <c r="C44" s="207">
        <v>4</v>
      </c>
    </row>
    <row r="45" spans="1:3" ht="30">
      <c r="A45" s="207" t="s">
        <v>7</v>
      </c>
      <c r="B45" s="28" t="s">
        <v>183</v>
      </c>
      <c r="C45" s="207">
        <v>35</v>
      </c>
    </row>
    <row r="46" spans="1:3" ht="15">
      <c r="A46" s="207"/>
      <c r="B46" s="98"/>
      <c r="C46" s="207"/>
    </row>
    <row r="47" spans="1:8" ht="15">
      <c r="A47" s="210"/>
      <c r="B47" s="379" t="s">
        <v>185</v>
      </c>
      <c r="C47" s="210">
        <f>+C13+C16+C18+C23+C32+C45</f>
        <v>114</v>
      </c>
      <c r="F47" s="376"/>
      <c r="H47" s="377"/>
    </row>
    <row r="69" spans="1:3" s="211" customFormat="1" ht="30.75" customHeight="1">
      <c r="A69" s="4"/>
      <c r="B69" s="5"/>
      <c r="C69" s="5"/>
    </row>
  </sheetData>
  <sheetProtection/>
  <mergeCells count="4">
    <mergeCell ref="B9:C9"/>
    <mergeCell ref="A5:C5"/>
    <mergeCell ref="A6:C6"/>
    <mergeCell ref="B4:C4"/>
  </mergeCells>
  <printOptions/>
  <pageMargins left="0.24" right="0.35" top="0.37" bottom="0.4" header="0.21" footer="0.1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C85">
      <selection activeCell="G16" sqref="G16"/>
    </sheetView>
  </sheetViews>
  <sheetFormatPr defaultColWidth="9.140625" defaultRowHeight="12.75"/>
  <cols>
    <col min="1" max="1" width="9.140625" style="19" customWidth="1"/>
    <col min="2" max="2" width="12.28125" style="19" customWidth="1"/>
    <col min="3" max="3" width="6.7109375" style="15" customWidth="1"/>
    <col min="4" max="4" width="45.57421875" style="201" customWidth="1"/>
    <col min="5" max="6" width="11.7109375" style="4" customWidth="1"/>
    <col min="7" max="7" width="11.00390625" style="4" customWidth="1"/>
    <col min="8" max="8" width="12.57421875" style="4" customWidth="1"/>
    <col min="9" max="9" width="14.7109375" style="4" customWidth="1"/>
    <col min="10" max="10" width="18.28125" style="4" customWidth="1"/>
    <col min="11" max="12" width="11.00390625" style="4" customWidth="1"/>
    <col min="13" max="16384" width="9.140625" style="5" customWidth="1"/>
  </cols>
  <sheetData>
    <row r="1" spans="1:10" ht="21.75" customHeight="1">
      <c r="A1" s="31"/>
      <c r="B1" s="31"/>
      <c r="J1" s="36" t="s">
        <v>15</v>
      </c>
    </row>
    <row r="2" spans="1:12" s="31" customFormat="1" ht="25.5" customHeight="1" thickBot="1">
      <c r="A2" s="475" t="s">
        <v>388</v>
      </c>
      <c r="B2" s="475"/>
      <c r="C2" s="475"/>
      <c r="D2" s="475"/>
      <c r="E2" s="475"/>
      <c r="F2" s="475"/>
      <c r="G2" s="475"/>
      <c r="H2" s="475"/>
      <c r="I2" s="23"/>
      <c r="J2" s="36" t="s">
        <v>9</v>
      </c>
      <c r="K2" s="30"/>
      <c r="L2" s="30"/>
    </row>
    <row r="3" spans="1:10" s="347" customFormat="1" ht="15">
      <c r="A3" s="367" t="s">
        <v>210</v>
      </c>
      <c r="B3" s="367">
        <v>3</v>
      </c>
      <c r="C3" s="345"/>
      <c r="D3" s="476"/>
      <c r="E3" s="476"/>
      <c r="F3" s="476"/>
      <c r="G3" s="476"/>
      <c r="H3" s="476"/>
      <c r="I3" s="476"/>
      <c r="J3" s="346"/>
    </row>
    <row r="4" spans="1:12" s="347" customFormat="1" ht="15">
      <c r="A4" s="213" t="s">
        <v>211</v>
      </c>
      <c r="B4" s="213">
        <v>3</v>
      </c>
      <c r="C4" s="345"/>
      <c r="D4" s="351"/>
      <c r="E4" s="351"/>
      <c r="F4" s="351"/>
      <c r="G4" s="351"/>
      <c r="H4" s="351"/>
      <c r="I4" s="351"/>
      <c r="J4" s="346"/>
      <c r="K4" s="374"/>
      <c r="L4" s="374"/>
    </row>
    <row r="5" spans="1:12" s="31" customFormat="1" ht="15">
      <c r="A5" s="213" t="s">
        <v>212</v>
      </c>
      <c r="B5" s="213">
        <v>1</v>
      </c>
      <c r="C5" s="46"/>
      <c r="D5" s="6"/>
      <c r="E5" s="23"/>
      <c r="F5" s="23"/>
      <c r="G5" s="23"/>
      <c r="H5" s="23"/>
      <c r="I5" s="23"/>
      <c r="J5" s="23"/>
      <c r="K5" s="23"/>
      <c r="L5" s="23"/>
    </row>
    <row r="6" spans="1:9" s="15" customFormat="1" ht="15">
      <c r="A6" s="480"/>
      <c r="B6" s="480"/>
      <c r="C6" s="241"/>
      <c r="D6" s="263"/>
      <c r="E6" s="9"/>
      <c r="F6" s="9"/>
      <c r="H6" s="288" t="s">
        <v>187</v>
      </c>
      <c r="I6" s="287"/>
    </row>
    <row r="7" spans="1:12" s="15" customFormat="1" ht="13.5" customHeight="1">
      <c r="A7" s="463" t="s">
        <v>213</v>
      </c>
      <c r="B7" s="463"/>
      <c r="C7" s="478"/>
      <c r="D7" s="479"/>
      <c r="E7" s="50" t="s">
        <v>236</v>
      </c>
      <c r="F7" s="50" t="s">
        <v>237</v>
      </c>
      <c r="G7" s="60" t="s">
        <v>238</v>
      </c>
      <c r="H7" s="60"/>
      <c r="I7" s="60"/>
      <c r="J7" s="14"/>
      <c r="K7" s="52" t="s">
        <v>241</v>
      </c>
      <c r="L7" s="52" t="s">
        <v>249</v>
      </c>
    </row>
    <row r="8" spans="1:12" s="15" customFormat="1" ht="54">
      <c r="A8" s="352" t="s">
        <v>214</v>
      </c>
      <c r="B8" s="352" t="s">
        <v>215</v>
      </c>
      <c r="C8" s="308" t="s">
        <v>16</v>
      </c>
      <c r="D8" s="308" t="s">
        <v>193</v>
      </c>
      <c r="E8" s="14" t="s">
        <v>195</v>
      </c>
      <c r="F8" s="64" t="s">
        <v>11</v>
      </c>
      <c r="G8" s="14" t="s">
        <v>12</v>
      </c>
      <c r="H8" s="14" t="s">
        <v>250</v>
      </c>
      <c r="I8" s="388" t="s">
        <v>251</v>
      </c>
      <c r="J8" s="14" t="s">
        <v>169</v>
      </c>
      <c r="K8" s="14" t="s">
        <v>12</v>
      </c>
      <c r="L8" s="14" t="s">
        <v>12</v>
      </c>
    </row>
    <row r="9" spans="1:12" s="225" customFormat="1" ht="15">
      <c r="A9" s="361">
        <v>1</v>
      </c>
      <c r="B9" s="361">
        <v>2</v>
      </c>
      <c r="C9" s="361">
        <v>3</v>
      </c>
      <c r="D9" s="361">
        <v>4</v>
      </c>
      <c r="E9" s="361">
        <v>5</v>
      </c>
      <c r="F9" s="361">
        <v>6</v>
      </c>
      <c r="G9" s="361">
        <v>7</v>
      </c>
      <c r="H9" s="361">
        <v>8</v>
      </c>
      <c r="I9" s="361">
        <v>9</v>
      </c>
      <c r="J9" s="361">
        <v>10</v>
      </c>
      <c r="K9" s="361">
        <v>11</v>
      </c>
      <c r="L9" s="361">
        <v>12</v>
      </c>
    </row>
    <row r="10" spans="1:12" s="168" customFormat="1" ht="14.25" customHeight="1">
      <c r="A10" s="477"/>
      <c r="B10" s="468"/>
      <c r="C10" s="353"/>
      <c r="D10" s="232" t="s">
        <v>167</v>
      </c>
      <c r="E10" s="224">
        <v>109</v>
      </c>
      <c r="F10" s="224">
        <v>114</v>
      </c>
      <c r="G10" s="224">
        <v>114</v>
      </c>
      <c r="H10" s="224">
        <f>+G10-F10</f>
        <v>0</v>
      </c>
      <c r="I10" s="224">
        <f aca="true" t="shared" si="0" ref="I10:I41">G10-E10</f>
        <v>5</v>
      </c>
      <c r="J10" s="224"/>
      <c r="K10" s="224">
        <v>114</v>
      </c>
      <c r="L10" s="224">
        <v>114</v>
      </c>
    </row>
    <row r="11" spans="1:12" s="168" customFormat="1" ht="13.5" customHeight="1">
      <c r="A11" s="473"/>
      <c r="B11" s="469"/>
      <c r="C11" s="354"/>
      <c r="D11" s="233"/>
      <c r="E11" s="157"/>
      <c r="F11" s="157"/>
      <c r="G11" s="157"/>
      <c r="H11" s="157">
        <f aca="true" t="shared" si="1" ref="H11:H75">+G11-F11</f>
        <v>0</v>
      </c>
      <c r="I11" s="157">
        <f t="shared" si="0"/>
        <v>0</v>
      </c>
      <c r="J11" s="157"/>
      <c r="K11" s="157"/>
      <c r="L11" s="157"/>
    </row>
    <row r="12" spans="1:12" s="168" customFormat="1" ht="14.25" customHeight="1">
      <c r="A12" s="473"/>
      <c r="B12" s="469"/>
      <c r="C12" s="354"/>
      <c r="D12" s="234" t="s">
        <v>13</v>
      </c>
      <c r="E12" s="157">
        <v>13</v>
      </c>
      <c r="F12" s="157">
        <v>13</v>
      </c>
      <c r="G12" s="157">
        <v>13</v>
      </c>
      <c r="H12" s="157">
        <f t="shared" si="1"/>
        <v>0</v>
      </c>
      <c r="I12" s="157">
        <f t="shared" si="0"/>
        <v>0</v>
      </c>
      <c r="J12" s="157"/>
      <c r="K12" s="157">
        <v>13</v>
      </c>
      <c r="L12" s="157">
        <v>13</v>
      </c>
    </row>
    <row r="13" spans="1:12" s="227" customFormat="1" ht="14.25" customHeight="1">
      <c r="A13" s="473"/>
      <c r="B13" s="469"/>
      <c r="C13" s="354"/>
      <c r="D13" s="233"/>
      <c r="E13" s="157"/>
      <c r="F13" s="157"/>
      <c r="G13" s="157"/>
      <c r="H13" s="157">
        <f t="shared" si="1"/>
        <v>0</v>
      </c>
      <c r="I13" s="157">
        <f t="shared" si="0"/>
        <v>0</v>
      </c>
      <c r="J13" s="157"/>
      <c r="K13" s="157"/>
      <c r="L13" s="157"/>
    </row>
    <row r="14" spans="1:12" s="225" customFormat="1" ht="14.25" customHeight="1">
      <c r="A14" s="473"/>
      <c r="B14" s="469"/>
      <c r="C14" s="355"/>
      <c r="D14" s="242" t="s">
        <v>14</v>
      </c>
      <c r="E14" s="226">
        <f>+E16+E85</f>
        <v>665793.7999999999</v>
      </c>
      <c r="F14" s="226">
        <f>+F16+F85</f>
        <v>690808.3999999999</v>
      </c>
      <c r="G14" s="226">
        <f>+G16+G85</f>
        <v>854822.5</v>
      </c>
      <c r="H14" s="226">
        <f t="shared" si="1"/>
        <v>164014.1000000001</v>
      </c>
      <c r="I14" s="226">
        <f t="shared" si="0"/>
        <v>189028.70000000007</v>
      </c>
      <c r="J14" s="226"/>
      <c r="K14" s="226">
        <f>+K16+K85</f>
        <v>842411.6000000001</v>
      </c>
      <c r="L14" s="226">
        <f>+L16+L85</f>
        <v>853218.1000000001</v>
      </c>
    </row>
    <row r="15" spans="1:12" s="225" customFormat="1" ht="14.25" customHeight="1">
      <c r="A15" s="473"/>
      <c r="B15" s="469"/>
      <c r="C15" s="356"/>
      <c r="D15" s="16" t="s">
        <v>194</v>
      </c>
      <c r="E15" s="157"/>
      <c r="F15" s="157"/>
      <c r="G15" s="157"/>
      <c r="H15" s="157"/>
      <c r="I15" s="157"/>
      <c r="J15" s="157"/>
      <c r="K15" s="157"/>
      <c r="L15" s="157"/>
    </row>
    <row r="16" spans="1:12" s="225" customFormat="1" ht="14.25" customHeight="1">
      <c r="A16" s="473"/>
      <c r="B16" s="469"/>
      <c r="C16" s="357"/>
      <c r="D16" s="235" t="s">
        <v>17</v>
      </c>
      <c r="E16" s="226">
        <f>E18+SUM(E24:E83)-E24-E29-E37-E51-E55-E74</f>
        <v>665793.7999999999</v>
      </c>
      <c r="F16" s="226">
        <f>F18+SUM(F24:F83)-F24-F29-F37-F51-F55-F74</f>
        <v>690808.3999999999</v>
      </c>
      <c r="G16" s="226">
        <f>G18+SUM(G24:G83)-G24-G29-G37-G51-G55-G74</f>
        <v>839007.8</v>
      </c>
      <c r="H16" s="226">
        <f>+G16-F16</f>
        <v>148199.40000000014</v>
      </c>
      <c r="I16" s="226">
        <f>G16-E16</f>
        <v>173214.00000000012</v>
      </c>
      <c r="J16" s="226"/>
      <c r="K16" s="226">
        <f>K18+SUM(K24:K83)-K24-K29-K37-K51-K55-K74</f>
        <v>842411.6000000001</v>
      </c>
      <c r="L16" s="226">
        <f>L18+SUM(L24:L83)-L24-L29-L37-L51-L55-L74</f>
        <v>853218.1000000001</v>
      </c>
    </row>
    <row r="17" spans="1:12" s="225" customFormat="1" ht="13.5" customHeight="1">
      <c r="A17" s="473"/>
      <c r="B17" s="469"/>
      <c r="C17" s="353"/>
      <c r="D17" s="233" t="s">
        <v>53</v>
      </c>
      <c r="E17" s="224"/>
      <c r="F17" s="224"/>
      <c r="G17" s="157"/>
      <c r="H17" s="157">
        <f>+G17-F17</f>
        <v>0</v>
      </c>
      <c r="I17" s="157">
        <f>G17-E17</f>
        <v>0</v>
      </c>
      <c r="J17" s="224"/>
      <c r="K17" s="157"/>
      <c r="L17" s="157"/>
    </row>
    <row r="18" spans="1:12" s="225" customFormat="1" ht="15">
      <c r="A18" s="473"/>
      <c r="B18" s="469"/>
      <c r="C18" s="358"/>
      <c r="D18" s="310" t="s">
        <v>225</v>
      </c>
      <c r="E18" s="311">
        <f>SUM(E20:E23)</f>
        <v>615483.1</v>
      </c>
      <c r="F18" s="391">
        <f>SUM(F20:F23)</f>
        <v>618997.1</v>
      </c>
      <c r="G18" s="391">
        <f>SUM(G20:G23)</f>
        <v>751312.2</v>
      </c>
      <c r="H18" s="311">
        <f>+G18-F18</f>
        <v>132315.09999999998</v>
      </c>
      <c r="I18" s="311">
        <f>G18-E18</f>
        <v>135829.09999999998</v>
      </c>
      <c r="J18" s="311"/>
      <c r="K18" s="391">
        <f>SUM(K20:K23)</f>
        <v>760238.4</v>
      </c>
      <c r="L18" s="391">
        <f>SUM(L20:L23)</f>
        <v>771044.9</v>
      </c>
    </row>
    <row r="19" spans="1:12" s="225" customFormat="1" ht="15">
      <c r="A19" s="364"/>
      <c r="B19" s="362"/>
      <c r="C19" s="353"/>
      <c r="D19" s="233" t="s">
        <v>53</v>
      </c>
      <c r="E19" s="224"/>
      <c r="F19" s="224"/>
      <c r="G19" s="157"/>
      <c r="H19" s="157">
        <f t="shared" si="1"/>
        <v>0</v>
      </c>
      <c r="I19" s="224">
        <f t="shared" si="0"/>
        <v>0</v>
      </c>
      <c r="J19" s="224"/>
      <c r="K19" s="157"/>
      <c r="L19" s="157"/>
    </row>
    <row r="20" spans="1:12" s="225" customFormat="1" ht="30">
      <c r="A20" s="364"/>
      <c r="B20" s="362"/>
      <c r="C20" s="359" t="s">
        <v>159</v>
      </c>
      <c r="D20" s="236" t="s">
        <v>18</v>
      </c>
      <c r="E20" s="224">
        <v>482574</v>
      </c>
      <c r="F20" s="224">
        <v>481442.2</v>
      </c>
      <c r="G20" s="224">
        <v>585347</v>
      </c>
      <c r="H20" s="224">
        <f t="shared" si="1"/>
        <v>103904.79999999999</v>
      </c>
      <c r="I20" s="224">
        <f t="shared" si="0"/>
        <v>102773</v>
      </c>
      <c r="J20" s="224" t="s">
        <v>710</v>
      </c>
      <c r="K20" s="224">
        <v>592305.1</v>
      </c>
      <c r="L20" s="224">
        <v>600725.6</v>
      </c>
    </row>
    <row r="21" spans="1:12" s="228" customFormat="1" ht="30">
      <c r="A21" s="364"/>
      <c r="B21" s="362"/>
      <c r="C21" s="359" t="s">
        <v>160</v>
      </c>
      <c r="D21" s="237" t="s">
        <v>19</v>
      </c>
      <c r="E21" s="224">
        <v>114539.2</v>
      </c>
      <c r="F21" s="224">
        <v>118201.4</v>
      </c>
      <c r="G21" s="224">
        <v>136386.5</v>
      </c>
      <c r="H21" s="224">
        <f t="shared" si="1"/>
        <v>18185.100000000006</v>
      </c>
      <c r="I21" s="224">
        <f t="shared" si="0"/>
        <v>21847.300000000003</v>
      </c>
      <c r="J21" s="224"/>
      <c r="K21" s="224">
        <v>137496.5</v>
      </c>
      <c r="L21" s="224">
        <v>139260.9</v>
      </c>
    </row>
    <row r="22" spans="1:12" s="228" customFormat="1" ht="30">
      <c r="A22" s="364"/>
      <c r="B22" s="362"/>
      <c r="C22" s="359" t="s">
        <v>161</v>
      </c>
      <c r="D22" s="237" t="s">
        <v>20</v>
      </c>
      <c r="E22" s="224">
        <v>18369.9</v>
      </c>
      <c r="F22" s="224">
        <v>19353.5</v>
      </c>
      <c r="G22" s="224">
        <v>29578.7</v>
      </c>
      <c r="H22" s="224">
        <f>+G22-F22</f>
        <v>10225.2</v>
      </c>
      <c r="I22" s="224">
        <f>G22-E22</f>
        <v>11208.8</v>
      </c>
      <c r="J22" s="224"/>
      <c r="K22" s="224">
        <v>30436.8</v>
      </c>
      <c r="L22" s="224">
        <v>31058.4</v>
      </c>
    </row>
    <row r="23" spans="1:12" s="228" customFormat="1" ht="27" customHeight="1">
      <c r="A23" s="364"/>
      <c r="B23" s="362"/>
      <c r="C23" s="359" t="s">
        <v>271</v>
      </c>
      <c r="D23" s="237" t="s">
        <v>272</v>
      </c>
      <c r="E23" s="224"/>
      <c r="F23" s="224"/>
      <c r="G23" s="224"/>
      <c r="H23" s="224">
        <f>+G23-F23</f>
        <v>0</v>
      </c>
      <c r="I23" s="224">
        <f>G23-E23</f>
        <v>0</v>
      </c>
      <c r="J23" s="224"/>
      <c r="K23" s="224"/>
      <c r="L23" s="224"/>
    </row>
    <row r="24" spans="1:12" s="228" customFormat="1" ht="15">
      <c r="A24" s="364"/>
      <c r="B24" s="362"/>
      <c r="C24" s="360">
        <v>4212</v>
      </c>
      <c r="D24" s="310" t="s">
        <v>21</v>
      </c>
      <c r="E24" s="311">
        <f>E26+E27+E28</f>
        <v>9591.9</v>
      </c>
      <c r="F24" s="311">
        <f>F26+F27+F28</f>
        <v>11530.1</v>
      </c>
      <c r="G24" s="311">
        <f>G26+G27+G28</f>
        <v>12516.2</v>
      </c>
      <c r="H24" s="311">
        <f t="shared" si="1"/>
        <v>986.1000000000004</v>
      </c>
      <c r="I24" s="311">
        <f t="shared" si="0"/>
        <v>2924.300000000001</v>
      </c>
      <c r="J24" s="311"/>
      <c r="K24" s="311">
        <f>K26+K27+K28</f>
        <v>12516.2</v>
      </c>
      <c r="L24" s="311">
        <f>L26+L27+L28</f>
        <v>12516.2</v>
      </c>
    </row>
    <row r="25" spans="1:12" s="228" customFormat="1" ht="15">
      <c r="A25" s="364"/>
      <c r="B25" s="362"/>
      <c r="C25" s="359"/>
      <c r="D25" s="233" t="s">
        <v>53</v>
      </c>
      <c r="E25" s="243"/>
      <c r="F25" s="243"/>
      <c r="G25" s="243"/>
      <c r="H25" s="243">
        <f t="shared" si="1"/>
        <v>0</v>
      </c>
      <c r="I25" s="243">
        <f t="shared" si="0"/>
        <v>0</v>
      </c>
      <c r="J25" s="243"/>
      <c r="K25" s="243"/>
      <c r="L25" s="243"/>
    </row>
    <row r="26" spans="1:12" s="228" customFormat="1" ht="15">
      <c r="A26" s="364"/>
      <c r="B26" s="362"/>
      <c r="C26" s="359"/>
      <c r="D26" s="233" t="s">
        <v>21</v>
      </c>
      <c r="E26" s="451">
        <v>5257.5</v>
      </c>
      <c r="F26" s="243">
        <v>5947</v>
      </c>
      <c r="G26" s="243">
        <v>6933.1</v>
      </c>
      <c r="H26" s="243">
        <f t="shared" si="1"/>
        <v>986.1000000000004</v>
      </c>
      <c r="I26" s="243">
        <f t="shared" si="0"/>
        <v>1675.6000000000004</v>
      </c>
      <c r="J26" s="243" t="s">
        <v>714</v>
      </c>
      <c r="K26" s="243">
        <v>6933.1</v>
      </c>
      <c r="L26" s="243">
        <v>6933.1</v>
      </c>
    </row>
    <row r="27" spans="1:12" s="228" customFormat="1" ht="15">
      <c r="A27" s="364"/>
      <c r="B27" s="362"/>
      <c r="C27" s="359"/>
      <c r="D27" s="233" t="s">
        <v>168</v>
      </c>
      <c r="E27" s="243"/>
      <c r="F27" s="243"/>
      <c r="G27" s="243"/>
      <c r="H27" s="243">
        <f t="shared" si="1"/>
        <v>0</v>
      </c>
      <c r="I27" s="243">
        <f t="shared" si="0"/>
        <v>0</v>
      </c>
      <c r="J27" s="243"/>
      <c r="K27" s="243"/>
      <c r="L27" s="243"/>
    </row>
    <row r="28" spans="1:12" s="228" customFormat="1" ht="15">
      <c r="A28" s="364"/>
      <c r="B28" s="362"/>
      <c r="C28" s="359"/>
      <c r="D28" s="233" t="s">
        <v>196</v>
      </c>
      <c r="E28" s="451">
        <v>4334.4</v>
      </c>
      <c r="F28" s="243">
        <v>5583.1</v>
      </c>
      <c r="G28" s="243">
        <v>5583.1</v>
      </c>
      <c r="H28" s="243">
        <f t="shared" si="1"/>
        <v>0</v>
      </c>
      <c r="I28" s="243">
        <f t="shared" si="0"/>
        <v>1248.7000000000007</v>
      </c>
      <c r="J28" s="243"/>
      <c r="K28" s="243">
        <v>5583.1</v>
      </c>
      <c r="L28" s="243">
        <v>5583.1</v>
      </c>
    </row>
    <row r="29" spans="1:12" s="228" customFormat="1" ht="15">
      <c r="A29" s="364"/>
      <c r="B29" s="362"/>
      <c r="C29" s="360">
        <v>4213</v>
      </c>
      <c r="D29" s="310" t="s">
        <v>22</v>
      </c>
      <c r="E29" s="311">
        <f>E31+E32</f>
        <v>561.2</v>
      </c>
      <c r="F29" s="311">
        <f>F31+F32</f>
        <v>1596</v>
      </c>
      <c r="G29" s="311">
        <f>G31+G32</f>
        <v>1596</v>
      </c>
      <c r="H29" s="311">
        <f t="shared" si="1"/>
        <v>0</v>
      </c>
      <c r="I29" s="311">
        <f t="shared" si="0"/>
        <v>1034.8</v>
      </c>
      <c r="J29" s="311"/>
      <c r="K29" s="311">
        <f>K31+K32</f>
        <v>1596</v>
      </c>
      <c r="L29" s="311">
        <f>L31+L32</f>
        <v>1596</v>
      </c>
    </row>
    <row r="30" spans="1:12" s="228" customFormat="1" ht="15">
      <c r="A30" s="364"/>
      <c r="B30" s="362"/>
      <c r="C30" s="359"/>
      <c r="D30" s="233" t="s">
        <v>53</v>
      </c>
      <c r="E30" s="243"/>
      <c r="F30" s="243"/>
      <c r="G30" s="243"/>
      <c r="H30" s="243">
        <f t="shared" si="1"/>
        <v>0</v>
      </c>
      <c r="I30" s="243">
        <f t="shared" si="0"/>
        <v>0</v>
      </c>
      <c r="J30" s="243"/>
      <c r="K30" s="243"/>
      <c r="L30" s="243"/>
    </row>
    <row r="31" spans="1:12" s="228" customFormat="1" ht="30">
      <c r="A31" s="364"/>
      <c r="B31" s="362"/>
      <c r="C31" s="359"/>
      <c r="D31" s="239" t="s">
        <v>23</v>
      </c>
      <c r="E31" s="243">
        <v>465.2</v>
      </c>
      <c r="F31" s="243">
        <v>1500</v>
      </c>
      <c r="G31" s="243">
        <v>1500</v>
      </c>
      <c r="H31" s="243">
        <f t="shared" si="1"/>
        <v>0</v>
      </c>
      <c r="I31" s="243">
        <f t="shared" si="0"/>
        <v>1034.8</v>
      </c>
      <c r="J31" s="243"/>
      <c r="K31" s="243">
        <v>1500</v>
      </c>
      <c r="L31" s="243">
        <v>1500</v>
      </c>
    </row>
    <row r="32" spans="1:12" s="228" customFormat="1" ht="30">
      <c r="A32" s="364"/>
      <c r="B32" s="362"/>
      <c r="C32" s="359"/>
      <c r="D32" s="239" t="s">
        <v>162</v>
      </c>
      <c r="E32" s="243">
        <v>96</v>
      </c>
      <c r="F32" s="243">
        <v>96</v>
      </c>
      <c r="G32" s="243">
        <v>96</v>
      </c>
      <c r="H32" s="243">
        <f t="shared" si="1"/>
        <v>0</v>
      </c>
      <c r="I32" s="243">
        <f t="shared" si="0"/>
        <v>0</v>
      </c>
      <c r="J32" s="243"/>
      <c r="K32" s="243">
        <v>96</v>
      </c>
      <c r="L32" s="243">
        <v>96</v>
      </c>
    </row>
    <row r="33" spans="1:12" s="228" customFormat="1" ht="15">
      <c r="A33" s="364"/>
      <c r="B33" s="362"/>
      <c r="C33" s="359">
        <v>4214</v>
      </c>
      <c r="D33" s="238" t="s">
        <v>24</v>
      </c>
      <c r="E33" s="243">
        <v>2621.2</v>
      </c>
      <c r="F33" s="243">
        <v>4236.9</v>
      </c>
      <c r="G33" s="243">
        <v>4236.9</v>
      </c>
      <c r="H33" s="243">
        <f t="shared" si="1"/>
        <v>0</v>
      </c>
      <c r="I33" s="243">
        <f t="shared" si="0"/>
        <v>1615.6999999999998</v>
      </c>
      <c r="J33" s="243"/>
      <c r="K33" s="243">
        <v>4236.9</v>
      </c>
      <c r="L33" s="243">
        <v>4236.9</v>
      </c>
    </row>
    <row r="34" spans="1:12" s="225" customFormat="1" ht="23.25" customHeight="1">
      <c r="A34" s="364"/>
      <c r="B34" s="362"/>
      <c r="C34" s="359">
        <v>4215</v>
      </c>
      <c r="D34" s="238" t="s">
        <v>25</v>
      </c>
      <c r="E34" s="243">
        <v>553</v>
      </c>
      <c r="F34" s="243">
        <v>650</v>
      </c>
      <c r="G34" s="243">
        <v>650</v>
      </c>
      <c r="H34" s="243">
        <f t="shared" si="1"/>
        <v>0</v>
      </c>
      <c r="I34" s="243">
        <f t="shared" si="0"/>
        <v>97</v>
      </c>
      <c r="J34" s="243"/>
      <c r="K34" s="243">
        <v>650</v>
      </c>
      <c r="L34" s="243">
        <v>650</v>
      </c>
    </row>
    <row r="35" spans="1:12" s="168" customFormat="1" ht="15">
      <c r="A35" s="364"/>
      <c r="B35" s="362"/>
      <c r="C35" s="359">
        <v>4216</v>
      </c>
      <c r="D35" s="238" t="s">
        <v>26</v>
      </c>
      <c r="E35" s="243"/>
      <c r="F35" s="243"/>
      <c r="G35" s="243"/>
      <c r="H35" s="243">
        <f t="shared" si="1"/>
        <v>0</v>
      </c>
      <c r="I35" s="243">
        <f t="shared" si="0"/>
        <v>0</v>
      </c>
      <c r="J35" s="243"/>
      <c r="K35" s="243"/>
      <c r="L35" s="243"/>
    </row>
    <row r="36" spans="1:12" s="168" customFormat="1" ht="15">
      <c r="A36" s="364"/>
      <c r="B36" s="362"/>
      <c r="C36" s="359">
        <v>4217</v>
      </c>
      <c r="D36" s="238" t="s">
        <v>27</v>
      </c>
      <c r="E36" s="243"/>
      <c r="F36" s="243"/>
      <c r="G36" s="243"/>
      <c r="H36" s="243">
        <f t="shared" si="1"/>
        <v>0</v>
      </c>
      <c r="I36" s="243">
        <f t="shared" si="0"/>
        <v>0</v>
      </c>
      <c r="J36" s="243"/>
      <c r="K36" s="243"/>
      <c r="L36" s="243"/>
    </row>
    <row r="37" spans="1:12" s="168" customFormat="1" ht="15">
      <c r="A37" s="364"/>
      <c r="B37" s="362"/>
      <c r="C37" s="360"/>
      <c r="D37" s="310" t="s">
        <v>207</v>
      </c>
      <c r="E37" s="311">
        <f>E39+E40</f>
        <v>1541.7</v>
      </c>
      <c r="F37" s="311">
        <f>F39+F40</f>
        <v>12000</v>
      </c>
      <c r="G37" s="311">
        <f>G39+G40</f>
        <v>12000</v>
      </c>
      <c r="H37" s="311">
        <f t="shared" si="1"/>
        <v>0</v>
      </c>
      <c r="I37" s="311">
        <f t="shared" si="0"/>
        <v>10458.3</v>
      </c>
      <c r="J37" s="311"/>
      <c r="K37" s="311">
        <f>K39+K40</f>
        <v>12000</v>
      </c>
      <c r="L37" s="311">
        <f>L39+L40</f>
        <v>12000</v>
      </c>
    </row>
    <row r="38" spans="1:12" s="168" customFormat="1" ht="15">
      <c r="A38" s="364"/>
      <c r="B38" s="362"/>
      <c r="C38" s="359"/>
      <c r="D38" s="233" t="s">
        <v>53</v>
      </c>
      <c r="E38" s="157"/>
      <c r="F38" s="157"/>
      <c r="G38" s="157"/>
      <c r="H38" s="157">
        <f t="shared" si="1"/>
        <v>0</v>
      </c>
      <c r="I38" s="157">
        <f t="shared" si="0"/>
        <v>0</v>
      </c>
      <c r="J38" s="157"/>
      <c r="K38" s="157"/>
      <c r="L38" s="157"/>
    </row>
    <row r="39" spans="1:12" s="168" customFormat="1" ht="15">
      <c r="A39" s="364"/>
      <c r="B39" s="362"/>
      <c r="C39" s="359">
        <v>4221</v>
      </c>
      <c r="D39" s="233" t="s">
        <v>28</v>
      </c>
      <c r="E39" s="157"/>
      <c r="F39" s="157"/>
      <c r="G39" s="157"/>
      <c r="H39" s="157">
        <f t="shared" si="1"/>
        <v>0</v>
      </c>
      <c r="I39" s="157">
        <f t="shared" si="0"/>
        <v>0</v>
      </c>
      <c r="J39" s="157"/>
      <c r="K39" s="157"/>
      <c r="L39" s="157"/>
    </row>
    <row r="40" spans="1:12" s="168" customFormat="1" ht="15">
      <c r="A40" s="364"/>
      <c r="B40" s="362"/>
      <c r="C40" s="359">
        <v>4222</v>
      </c>
      <c r="D40" s="233" t="s">
        <v>29</v>
      </c>
      <c r="E40" s="157">
        <v>1541.7</v>
      </c>
      <c r="F40" s="157">
        <v>12000</v>
      </c>
      <c r="G40" s="157">
        <v>12000</v>
      </c>
      <c r="H40" s="157">
        <f t="shared" si="1"/>
        <v>0</v>
      </c>
      <c r="I40" s="157">
        <f t="shared" si="0"/>
        <v>10458.3</v>
      </c>
      <c r="J40" s="157"/>
      <c r="K40" s="157">
        <v>12000</v>
      </c>
      <c r="L40" s="157">
        <v>12000</v>
      </c>
    </row>
    <row r="41" spans="1:12" s="228" customFormat="1" ht="19.5" customHeight="1">
      <c r="A41" s="364"/>
      <c r="B41" s="362"/>
      <c r="C41" s="359">
        <v>4231</v>
      </c>
      <c r="D41" s="234" t="s">
        <v>30</v>
      </c>
      <c r="E41" s="157">
        <v>40</v>
      </c>
      <c r="F41" s="157">
        <v>300</v>
      </c>
      <c r="G41" s="157">
        <v>300</v>
      </c>
      <c r="H41" s="157">
        <f t="shared" si="1"/>
        <v>0</v>
      </c>
      <c r="I41" s="157">
        <f t="shared" si="0"/>
        <v>260</v>
      </c>
      <c r="J41" s="157"/>
      <c r="K41" s="157">
        <v>300</v>
      </c>
      <c r="L41" s="157">
        <v>300</v>
      </c>
    </row>
    <row r="42" spans="1:12" s="228" customFormat="1" ht="45">
      <c r="A42" s="364"/>
      <c r="B42" s="362"/>
      <c r="C42" s="359">
        <v>4232</v>
      </c>
      <c r="D42" s="234" t="s">
        <v>31</v>
      </c>
      <c r="E42" s="157">
        <v>1223</v>
      </c>
      <c r="F42" s="157">
        <v>2028</v>
      </c>
      <c r="G42" s="157">
        <v>2430</v>
      </c>
      <c r="H42" s="157">
        <f t="shared" si="1"/>
        <v>402</v>
      </c>
      <c r="I42" s="157">
        <f aca="true" t="shared" si="2" ref="I42:I75">G42-E42</f>
        <v>1207</v>
      </c>
      <c r="J42" s="462" t="s">
        <v>713</v>
      </c>
      <c r="K42" s="157">
        <v>2430</v>
      </c>
      <c r="L42" s="157">
        <v>2430</v>
      </c>
    </row>
    <row r="43" spans="1:12" s="228" customFormat="1" ht="30">
      <c r="A43" s="364"/>
      <c r="B43" s="362"/>
      <c r="C43" s="359">
        <v>4233</v>
      </c>
      <c r="D43" s="234" t="s">
        <v>190</v>
      </c>
      <c r="E43" s="157"/>
      <c r="F43" s="157"/>
      <c r="G43" s="157"/>
      <c r="H43" s="157">
        <f t="shared" si="1"/>
        <v>0</v>
      </c>
      <c r="I43" s="157">
        <f t="shared" si="2"/>
        <v>0</v>
      </c>
      <c r="J43" s="342"/>
      <c r="K43" s="157"/>
      <c r="L43" s="157"/>
    </row>
    <row r="44" spans="1:12" s="228" customFormat="1" ht="69" customHeight="1">
      <c r="A44" s="364"/>
      <c r="B44" s="362"/>
      <c r="C44" s="359">
        <v>4234</v>
      </c>
      <c r="D44" s="234" t="s">
        <v>32</v>
      </c>
      <c r="E44" s="243">
        <v>2895.4</v>
      </c>
      <c r="F44" s="243">
        <v>2160.4</v>
      </c>
      <c r="G44" s="243">
        <v>3571.4</v>
      </c>
      <c r="H44" s="243">
        <f t="shared" si="1"/>
        <v>1411</v>
      </c>
      <c r="I44" s="243">
        <f t="shared" si="2"/>
        <v>676</v>
      </c>
      <c r="J44" s="243" t="s">
        <v>711</v>
      </c>
      <c r="K44" s="243">
        <v>3571.4</v>
      </c>
      <c r="L44" s="243">
        <v>3571.4</v>
      </c>
    </row>
    <row r="45" spans="1:12" s="225" customFormat="1" ht="18.75" customHeight="1">
      <c r="A45" s="364"/>
      <c r="B45" s="362"/>
      <c r="C45" s="359">
        <v>4235</v>
      </c>
      <c r="D45" s="234" t="s">
        <v>33</v>
      </c>
      <c r="E45" s="243"/>
      <c r="F45" s="243"/>
      <c r="G45" s="243"/>
      <c r="H45" s="243">
        <f t="shared" si="1"/>
        <v>0</v>
      </c>
      <c r="I45" s="243">
        <f t="shared" si="2"/>
        <v>0</v>
      </c>
      <c r="J45" s="243"/>
      <c r="K45" s="243"/>
      <c r="L45" s="243"/>
    </row>
    <row r="46" spans="1:12" s="228" customFormat="1" ht="30">
      <c r="A46" s="364"/>
      <c r="B46" s="362"/>
      <c r="C46" s="359">
        <v>4236</v>
      </c>
      <c r="D46" s="234" t="s">
        <v>34</v>
      </c>
      <c r="E46" s="243"/>
      <c r="F46" s="243">
        <v>60</v>
      </c>
      <c r="G46" s="243">
        <v>100</v>
      </c>
      <c r="H46" s="243">
        <f t="shared" si="1"/>
        <v>40</v>
      </c>
      <c r="I46" s="243">
        <f t="shared" si="2"/>
        <v>100</v>
      </c>
      <c r="J46" s="243"/>
      <c r="K46" s="243">
        <v>100</v>
      </c>
      <c r="L46" s="243">
        <v>100</v>
      </c>
    </row>
    <row r="47" spans="1:12" s="225" customFormat="1" ht="18.75" customHeight="1">
      <c r="A47" s="364"/>
      <c r="B47" s="362"/>
      <c r="C47" s="359">
        <v>4237</v>
      </c>
      <c r="D47" s="234" t="s">
        <v>35</v>
      </c>
      <c r="E47" s="243">
        <v>7422.6</v>
      </c>
      <c r="F47" s="243">
        <v>15790</v>
      </c>
      <c r="G47" s="243">
        <v>15790</v>
      </c>
      <c r="H47" s="243">
        <f t="shared" si="1"/>
        <v>0</v>
      </c>
      <c r="I47" s="243">
        <f t="shared" si="2"/>
        <v>8367.4</v>
      </c>
      <c r="J47" s="243"/>
      <c r="K47" s="243">
        <v>15790</v>
      </c>
      <c r="L47" s="243">
        <v>15790</v>
      </c>
    </row>
    <row r="48" spans="1:12" s="225" customFormat="1" ht="18.75" customHeight="1">
      <c r="A48" s="364"/>
      <c r="B48" s="362"/>
      <c r="C48" s="359">
        <v>4239</v>
      </c>
      <c r="D48" s="232" t="s">
        <v>36</v>
      </c>
      <c r="E48" s="224">
        <v>780</v>
      </c>
      <c r="F48" s="224"/>
      <c r="G48" s="224"/>
      <c r="H48" s="224">
        <f t="shared" si="1"/>
        <v>0</v>
      </c>
      <c r="I48" s="224">
        <f t="shared" si="2"/>
        <v>-780</v>
      </c>
      <c r="J48" s="224"/>
      <c r="K48" s="224"/>
      <c r="L48" s="224"/>
    </row>
    <row r="49" spans="1:12" s="225" customFormat="1" ht="18.75" customHeight="1">
      <c r="A49" s="364"/>
      <c r="B49" s="362"/>
      <c r="C49" s="359">
        <v>4241</v>
      </c>
      <c r="D49" s="234" t="s">
        <v>37</v>
      </c>
      <c r="E49" s="243">
        <v>323.5</v>
      </c>
      <c r="F49" s="243">
        <v>300</v>
      </c>
      <c r="G49" s="243">
        <v>300</v>
      </c>
      <c r="H49" s="243">
        <f t="shared" si="1"/>
        <v>0</v>
      </c>
      <c r="I49" s="243">
        <f t="shared" si="2"/>
        <v>-23.5</v>
      </c>
      <c r="J49" s="243"/>
      <c r="K49" s="243">
        <v>300</v>
      </c>
      <c r="L49" s="243">
        <v>300</v>
      </c>
    </row>
    <row r="50" spans="1:12" s="225" customFormat="1" ht="30">
      <c r="A50" s="364"/>
      <c r="B50" s="362"/>
      <c r="C50" s="359">
        <v>4251</v>
      </c>
      <c r="D50" s="232" t="s">
        <v>38</v>
      </c>
      <c r="E50" s="224">
        <v>992</v>
      </c>
      <c r="F50" s="224">
        <v>1000</v>
      </c>
      <c r="G50" s="224">
        <v>7622.4</v>
      </c>
      <c r="H50" s="224">
        <f t="shared" si="1"/>
        <v>6622.4</v>
      </c>
      <c r="I50" s="224">
        <f t="shared" si="2"/>
        <v>6630.4</v>
      </c>
      <c r="J50" s="224"/>
      <c r="K50" s="224">
        <v>3000</v>
      </c>
      <c r="L50" s="224">
        <v>3000</v>
      </c>
    </row>
    <row r="51" spans="1:12" s="225" customFormat="1" ht="30">
      <c r="A51" s="364"/>
      <c r="B51" s="362"/>
      <c r="C51" s="360">
        <v>4252</v>
      </c>
      <c r="D51" s="310" t="s">
        <v>39</v>
      </c>
      <c r="E51" s="311">
        <f>E53+E54</f>
        <v>3678.8999999999996</v>
      </c>
      <c r="F51" s="311">
        <f>F53+F54</f>
        <v>1900</v>
      </c>
      <c r="G51" s="311">
        <f>G53+G54</f>
        <v>1995</v>
      </c>
      <c r="H51" s="311">
        <f t="shared" si="1"/>
        <v>95</v>
      </c>
      <c r="I51" s="311">
        <f t="shared" si="2"/>
        <v>-1683.8999999999996</v>
      </c>
      <c r="J51" s="311"/>
      <c r="K51" s="311">
        <f>K53+K54</f>
        <v>1995</v>
      </c>
      <c r="L51" s="311">
        <f>L53+L54</f>
        <v>1995</v>
      </c>
    </row>
    <row r="52" spans="1:12" s="225" customFormat="1" ht="15">
      <c r="A52" s="364"/>
      <c r="B52" s="362"/>
      <c r="C52" s="359"/>
      <c r="D52" s="233" t="s">
        <v>53</v>
      </c>
      <c r="E52" s="224"/>
      <c r="F52" s="224"/>
      <c r="G52" s="224"/>
      <c r="H52" s="224">
        <f t="shared" si="1"/>
        <v>0</v>
      </c>
      <c r="I52" s="224">
        <f t="shared" si="2"/>
        <v>0</v>
      </c>
      <c r="J52" s="224"/>
      <c r="K52" s="224"/>
      <c r="L52" s="224"/>
    </row>
    <row r="53" spans="1:12" s="228" customFormat="1" ht="30">
      <c r="A53" s="364"/>
      <c r="B53" s="362"/>
      <c r="C53" s="359"/>
      <c r="D53" s="240" t="s">
        <v>40</v>
      </c>
      <c r="E53" s="452">
        <v>3133.7</v>
      </c>
      <c r="F53" s="224">
        <v>950</v>
      </c>
      <c r="G53" s="224">
        <v>1000</v>
      </c>
      <c r="H53" s="224">
        <f t="shared" si="1"/>
        <v>50</v>
      </c>
      <c r="I53" s="224">
        <f t="shared" si="2"/>
        <v>-2133.7</v>
      </c>
      <c r="J53" s="224"/>
      <c r="K53" s="224">
        <v>1000</v>
      </c>
      <c r="L53" s="224">
        <v>1000</v>
      </c>
    </row>
    <row r="54" spans="1:12" s="228" customFormat="1" ht="30">
      <c r="A54" s="364"/>
      <c r="B54" s="362"/>
      <c r="C54" s="359"/>
      <c r="D54" s="240" t="s">
        <v>41</v>
      </c>
      <c r="E54" s="452">
        <v>545.2</v>
      </c>
      <c r="F54" s="224">
        <v>950</v>
      </c>
      <c r="G54" s="224">
        <v>995</v>
      </c>
      <c r="H54" s="224">
        <f t="shared" si="1"/>
        <v>45</v>
      </c>
      <c r="I54" s="224">
        <f t="shared" si="2"/>
        <v>449.79999999999995</v>
      </c>
      <c r="J54" s="224"/>
      <c r="K54" s="224">
        <v>995</v>
      </c>
      <c r="L54" s="224">
        <v>995</v>
      </c>
    </row>
    <row r="55" spans="1:12" s="228" customFormat="1" ht="15">
      <c r="A55" s="364"/>
      <c r="B55" s="362"/>
      <c r="C55" s="360">
        <v>4261</v>
      </c>
      <c r="D55" s="310" t="s">
        <v>42</v>
      </c>
      <c r="E55" s="311">
        <f>E57+E58</f>
        <v>531.5</v>
      </c>
      <c r="F55" s="311">
        <f>F57+F58</f>
        <v>1999.4</v>
      </c>
      <c r="G55" s="391">
        <f>G57+G58</f>
        <v>2346.6</v>
      </c>
      <c r="H55" s="311">
        <f t="shared" si="1"/>
        <v>347.1999999999998</v>
      </c>
      <c r="I55" s="311">
        <f t="shared" si="2"/>
        <v>1815.1</v>
      </c>
      <c r="J55" s="311"/>
      <c r="K55" s="311">
        <f>K57+K58</f>
        <v>1446.6</v>
      </c>
      <c r="L55" s="311">
        <f>L57+L58</f>
        <v>1446.6</v>
      </c>
    </row>
    <row r="56" spans="1:12" s="228" customFormat="1" ht="15">
      <c r="A56" s="364"/>
      <c r="B56" s="362"/>
      <c r="C56" s="359"/>
      <c r="D56" s="233" t="s">
        <v>53</v>
      </c>
      <c r="E56" s="243"/>
      <c r="F56" s="243"/>
      <c r="G56" s="243"/>
      <c r="H56" s="243">
        <f t="shared" si="1"/>
        <v>0</v>
      </c>
      <c r="I56" s="243">
        <f t="shared" si="2"/>
        <v>0</v>
      </c>
      <c r="J56" s="243"/>
      <c r="K56" s="243"/>
      <c r="L56" s="243"/>
    </row>
    <row r="57" spans="1:12" s="228" customFormat="1" ht="15">
      <c r="A57" s="364"/>
      <c r="B57" s="362"/>
      <c r="C57" s="359"/>
      <c r="D57" s="233" t="s">
        <v>43</v>
      </c>
      <c r="E57" s="243">
        <v>531.5</v>
      </c>
      <c r="F57" s="243">
        <v>999.5</v>
      </c>
      <c r="G57" s="243">
        <v>1446.6</v>
      </c>
      <c r="H57" s="243">
        <f t="shared" si="1"/>
        <v>447.0999999999999</v>
      </c>
      <c r="I57" s="243">
        <f t="shared" si="2"/>
        <v>915.0999999999999</v>
      </c>
      <c r="J57" s="243"/>
      <c r="K57" s="243">
        <v>1446.6</v>
      </c>
      <c r="L57" s="243">
        <v>1446.6</v>
      </c>
    </row>
    <row r="58" spans="1:12" s="228" customFormat="1" ht="15">
      <c r="A58" s="364"/>
      <c r="B58" s="362"/>
      <c r="C58" s="359"/>
      <c r="D58" s="233" t="s">
        <v>44</v>
      </c>
      <c r="E58" s="243"/>
      <c r="F58" s="243">
        <v>999.9</v>
      </c>
      <c r="G58" s="243">
        <v>900</v>
      </c>
      <c r="H58" s="243">
        <f t="shared" si="1"/>
        <v>-99.89999999999998</v>
      </c>
      <c r="I58" s="243">
        <f t="shared" si="2"/>
        <v>900</v>
      </c>
      <c r="J58" s="243"/>
      <c r="K58" s="243"/>
      <c r="L58" s="243"/>
    </row>
    <row r="59" spans="1:12" s="228" customFormat="1" ht="15">
      <c r="A59" s="364"/>
      <c r="B59" s="362"/>
      <c r="C59" s="359">
        <v>4262</v>
      </c>
      <c r="D59" s="234" t="s">
        <v>176</v>
      </c>
      <c r="E59" s="243"/>
      <c r="F59" s="243"/>
      <c r="G59" s="243"/>
      <c r="H59" s="243">
        <f t="shared" si="1"/>
        <v>0</v>
      </c>
      <c r="I59" s="243">
        <f t="shared" si="2"/>
        <v>0</v>
      </c>
      <c r="J59" s="243"/>
      <c r="K59" s="243"/>
      <c r="L59" s="243"/>
    </row>
    <row r="60" spans="1:12" s="228" customFormat="1" ht="30">
      <c r="A60" s="364"/>
      <c r="B60" s="362"/>
      <c r="C60" s="359">
        <v>4264</v>
      </c>
      <c r="D60" s="234" t="s">
        <v>175</v>
      </c>
      <c r="E60" s="243">
        <v>15327.5</v>
      </c>
      <c r="F60" s="243">
        <v>14470</v>
      </c>
      <c r="G60" s="243">
        <v>19732.6</v>
      </c>
      <c r="H60" s="243">
        <f t="shared" si="1"/>
        <v>5262.5999999999985</v>
      </c>
      <c r="I60" s="243">
        <f t="shared" si="2"/>
        <v>4405.0999999999985</v>
      </c>
      <c r="J60" s="243" t="s">
        <v>712</v>
      </c>
      <c r="K60" s="243">
        <v>19732.6</v>
      </c>
      <c r="L60" s="243">
        <v>19732.6</v>
      </c>
    </row>
    <row r="61" spans="1:12" s="228" customFormat="1" ht="22.5" customHeight="1">
      <c r="A61" s="364"/>
      <c r="B61" s="362"/>
      <c r="C61" s="359">
        <v>4266</v>
      </c>
      <c r="D61" s="234" t="s">
        <v>209</v>
      </c>
      <c r="E61" s="243"/>
      <c r="F61" s="243"/>
      <c r="G61" s="243"/>
      <c r="H61" s="243">
        <f t="shared" si="1"/>
        <v>0</v>
      </c>
      <c r="I61" s="243">
        <f t="shared" si="2"/>
        <v>0</v>
      </c>
      <c r="J61" s="243"/>
      <c r="K61" s="243"/>
      <c r="L61" s="243"/>
    </row>
    <row r="62" spans="1:12" s="228" customFormat="1" ht="15">
      <c r="A62" s="364"/>
      <c r="B62" s="362"/>
      <c r="C62" s="359">
        <v>4267</v>
      </c>
      <c r="D62" s="234" t="s">
        <v>177</v>
      </c>
      <c r="E62" s="243">
        <v>895</v>
      </c>
      <c r="F62" s="243">
        <v>998.5</v>
      </c>
      <c r="G62" s="243">
        <v>1516.5</v>
      </c>
      <c r="H62" s="243">
        <f t="shared" si="1"/>
        <v>518</v>
      </c>
      <c r="I62" s="243">
        <f t="shared" si="2"/>
        <v>621.5</v>
      </c>
      <c r="J62" s="243"/>
      <c r="K62" s="243">
        <v>1516.5</v>
      </c>
      <c r="L62" s="243">
        <v>1516.5</v>
      </c>
    </row>
    <row r="63" spans="1:12" s="228" customFormat="1" ht="15">
      <c r="A63" s="364"/>
      <c r="B63" s="362"/>
      <c r="C63" s="359">
        <v>4269</v>
      </c>
      <c r="D63" s="234" t="s">
        <v>45</v>
      </c>
      <c r="E63" s="243"/>
      <c r="F63" s="243"/>
      <c r="G63" s="243"/>
      <c r="H63" s="243">
        <f t="shared" si="1"/>
        <v>0</v>
      </c>
      <c r="I63" s="243">
        <f t="shared" si="2"/>
        <v>0</v>
      </c>
      <c r="J63" s="243"/>
      <c r="K63" s="243"/>
      <c r="L63" s="243"/>
    </row>
    <row r="64" spans="1:12" s="228" customFormat="1" ht="30">
      <c r="A64" s="364"/>
      <c r="B64" s="362"/>
      <c r="C64" s="359">
        <v>4511</v>
      </c>
      <c r="D64" s="232" t="s">
        <v>46</v>
      </c>
      <c r="E64" s="243"/>
      <c r="F64" s="243"/>
      <c r="G64" s="243"/>
      <c r="H64" s="243">
        <f t="shared" si="1"/>
        <v>0</v>
      </c>
      <c r="I64" s="243">
        <f t="shared" si="2"/>
        <v>0</v>
      </c>
      <c r="J64" s="243"/>
      <c r="K64" s="243"/>
      <c r="L64" s="243"/>
    </row>
    <row r="65" spans="1:12" s="230" customFormat="1" ht="30">
      <c r="A65" s="364"/>
      <c r="B65" s="362"/>
      <c r="C65" s="359">
        <v>4621</v>
      </c>
      <c r="D65" s="232" t="s">
        <v>47</v>
      </c>
      <c r="E65" s="243"/>
      <c r="F65" s="243"/>
      <c r="G65" s="243"/>
      <c r="H65" s="243">
        <f t="shared" si="1"/>
        <v>0</v>
      </c>
      <c r="I65" s="243">
        <f t="shared" si="2"/>
        <v>0</v>
      </c>
      <c r="J65" s="343"/>
      <c r="K65" s="243"/>
      <c r="L65" s="243"/>
    </row>
    <row r="66" spans="1:12" s="230" customFormat="1" ht="30">
      <c r="A66" s="364"/>
      <c r="B66" s="362"/>
      <c r="C66" s="359">
        <v>4631</v>
      </c>
      <c r="D66" s="232" t="s">
        <v>189</v>
      </c>
      <c r="E66" s="243"/>
      <c r="F66" s="243"/>
      <c r="G66" s="243"/>
      <c r="H66" s="243">
        <f t="shared" si="1"/>
        <v>0</v>
      </c>
      <c r="I66" s="243">
        <f t="shared" si="2"/>
        <v>0</v>
      </c>
      <c r="J66" s="343"/>
      <c r="K66" s="243"/>
      <c r="L66" s="243"/>
    </row>
    <row r="67" spans="1:12" s="230" customFormat="1" ht="21.75" customHeight="1">
      <c r="A67" s="364"/>
      <c r="B67" s="362"/>
      <c r="C67" s="359">
        <v>4632</v>
      </c>
      <c r="D67" s="232" t="s">
        <v>166</v>
      </c>
      <c r="E67" s="243"/>
      <c r="F67" s="243"/>
      <c r="G67" s="243"/>
      <c r="H67" s="243">
        <f t="shared" si="1"/>
        <v>0</v>
      </c>
      <c r="I67" s="243">
        <f t="shared" si="2"/>
        <v>0</v>
      </c>
      <c r="J67" s="243"/>
      <c r="K67" s="243"/>
      <c r="L67" s="243"/>
    </row>
    <row r="68" spans="1:12" s="230" customFormat="1" ht="42" customHeight="1">
      <c r="A68" s="364"/>
      <c r="B68" s="362"/>
      <c r="C68" s="359" t="s">
        <v>232</v>
      </c>
      <c r="D68" s="232" t="s">
        <v>233</v>
      </c>
      <c r="E68" s="243"/>
      <c r="F68" s="243"/>
      <c r="G68" s="243"/>
      <c r="H68" s="243"/>
      <c r="I68" s="243"/>
      <c r="J68" s="243"/>
      <c r="K68" s="243"/>
      <c r="L68" s="243"/>
    </row>
    <row r="69" spans="1:12" s="230" customFormat="1" ht="48.75" customHeight="1">
      <c r="A69" s="364"/>
      <c r="B69" s="362"/>
      <c r="C69" s="359">
        <v>4638</v>
      </c>
      <c r="D69" s="232" t="s">
        <v>235</v>
      </c>
      <c r="E69" s="243"/>
      <c r="F69" s="243"/>
      <c r="G69" s="243"/>
      <c r="H69" s="243">
        <f t="shared" si="1"/>
        <v>0</v>
      </c>
      <c r="I69" s="243">
        <f t="shared" si="2"/>
        <v>0</v>
      </c>
      <c r="J69" s="243"/>
      <c r="K69" s="243"/>
      <c r="L69" s="243"/>
    </row>
    <row r="70" spans="1:12" s="230" customFormat="1" ht="23.25" customHeight="1">
      <c r="A70" s="364"/>
      <c r="B70" s="362"/>
      <c r="C70" s="359" t="s">
        <v>191</v>
      </c>
      <c r="D70" s="232" t="s">
        <v>192</v>
      </c>
      <c r="E70" s="243"/>
      <c r="F70" s="243"/>
      <c r="G70" s="243"/>
      <c r="H70" s="243">
        <f t="shared" si="1"/>
        <v>0</v>
      </c>
      <c r="I70" s="243">
        <f t="shared" si="2"/>
        <v>0</v>
      </c>
      <c r="J70" s="243"/>
      <c r="K70" s="243"/>
      <c r="L70" s="243"/>
    </row>
    <row r="71" spans="1:12" s="230" customFormat="1" ht="45">
      <c r="A71" s="364"/>
      <c r="B71" s="362"/>
      <c r="C71" s="359" t="s">
        <v>242</v>
      </c>
      <c r="D71" s="232" t="s">
        <v>243</v>
      </c>
      <c r="E71" s="243"/>
      <c r="F71" s="243"/>
      <c r="G71" s="243"/>
      <c r="H71" s="243">
        <f>+G71-F71</f>
        <v>0</v>
      </c>
      <c r="I71" s="243">
        <f>G71-E71</f>
        <v>0</v>
      </c>
      <c r="J71" s="243"/>
      <c r="K71" s="243"/>
      <c r="L71" s="243"/>
    </row>
    <row r="72" spans="1:12" s="230" customFormat="1" ht="21" customHeight="1">
      <c r="A72" s="364"/>
      <c r="B72" s="362"/>
      <c r="C72" s="359">
        <v>4729</v>
      </c>
      <c r="D72" s="234" t="s">
        <v>48</v>
      </c>
      <c r="E72" s="247"/>
      <c r="F72" s="247"/>
      <c r="G72" s="243"/>
      <c r="H72" s="243">
        <f t="shared" si="1"/>
        <v>0</v>
      </c>
      <c r="I72" s="243">
        <f t="shared" si="2"/>
        <v>0</v>
      </c>
      <c r="J72" s="247"/>
      <c r="K72" s="243"/>
      <c r="L72" s="243"/>
    </row>
    <row r="73" spans="1:12" s="230" customFormat="1" ht="22.5" customHeight="1">
      <c r="A73" s="364"/>
      <c r="B73" s="362"/>
      <c r="C73" s="359">
        <v>4822</v>
      </c>
      <c r="D73" s="234" t="s">
        <v>49</v>
      </c>
      <c r="E73" s="247"/>
      <c r="F73" s="247"/>
      <c r="G73" s="243"/>
      <c r="H73" s="243">
        <f t="shared" si="1"/>
        <v>0</v>
      </c>
      <c r="I73" s="243">
        <f t="shared" si="2"/>
        <v>0</v>
      </c>
      <c r="J73" s="247"/>
      <c r="K73" s="243"/>
      <c r="L73" s="243"/>
    </row>
    <row r="74" spans="1:12" s="230" customFormat="1" ht="19.5" customHeight="1">
      <c r="A74" s="364"/>
      <c r="B74" s="362"/>
      <c r="C74" s="360">
        <v>4823</v>
      </c>
      <c r="D74" s="310" t="s">
        <v>50</v>
      </c>
      <c r="E74" s="311">
        <f>E76+E77+E78</f>
        <v>1332.3</v>
      </c>
      <c r="F74" s="311">
        <f>F76+F77+F78</f>
        <v>792</v>
      </c>
      <c r="G74" s="311">
        <f>G76+G77+G78</f>
        <v>992</v>
      </c>
      <c r="H74" s="311">
        <f t="shared" si="1"/>
        <v>200</v>
      </c>
      <c r="I74" s="311">
        <f t="shared" si="2"/>
        <v>-340.29999999999995</v>
      </c>
      <c r="J74" s="311"/>
      <c r="K74" s="311">
        <f>K76+K77+K78</f>
        <v>992</v>
      </c>
      <c r="L74" s="311">
        <f>L76+L77+L78</f>
        <v>992</v>
      </c>
    </row>
    <row r="75" spans="1:12" s="230" customFormat="1" ht="15">
      <c r="A75" s="364"/>
      <c r="B75" s="362"/>
      <c r="C75" s="359"/>
      <c r="D75" s="233" t="s">
        <v>53</v>
      </c>
      <c r="E75" s="247"/>
      <c r="F75" s="247"/>
      <c r="G75" s="243"/>
      <c r="H75" s="243">
        <f t="shared" si="1"/>
        <v>0</v>
      </c>
      <c r="I75" s="243">
        <f t="shared" si="2"/>
        <v>0</v>
      </c>
      <c r="J75" s="247"/>
      <c r="K75" s="243"/>
      <c r="L75" s="243"/>
    </row>
    <row r="76" spans="1:12" s="228" customFormat="1" ht="30">
      <c r="A76" s="364"/>
      <c r="B76" s="362"/>
      <c r="C76" s="359"/>
      <c r="D76" s="233" t="s">
        <v>165</v>
      </c>
      <c r="E76" s="451">
        <v>146.9</v>
      </c>
      <c r="F76" s="243">
        <v>180</v>
      </c>
      <c r="G76" s="451">
        <v>180</v>
      </c>
      <c r="H76" s="243">
        <f aca="true" t="shared" si="3" ref="H76:H91">+G76-F76</f>
        <v>0</v>
      </c>
      <c r="I76" s="243">
        <f aca="true" t="shared" si="4" ref="I76:I83">G76-E76</f>
        <v>33.099999999999994</v>
      </c>
      <c r="J76" s="247"/>
      <c r="K76" s="243">
        <v>180</v>
      </c>
      <c r="L76" s="243">
        <v>180</v>
      </c>
    </row>
    <row r="77" spans="1:12" ht="27.75" customHeight="1">
      <c r="A77" s="364"/>
      <c r="B77" s="362"/>
      <c r="C77" s="359"/>
      <c r="D77" s="233" t="s">
        <v>163</v>
      </c>
      <c r="E77" s="451">
        <v>985.4</v>
      </c>
      <c r="F77" s="243">
        <v>612</v>
      </c>
      <c r="G77" s="243">
        <v>612</v>
      </c>
      <c r="H77" s="243">
        <f t="shared" si="3"/>
        <v>0</v>
      </c>
      <c r="I77" s="243">
        <f t="shared" si="4"/>
        <v>-373.4</v>
      </c>
      <c r="J77" s="247"/>
      <c r="K77" s="243">
        <v>612</v>
      </c>
      <c r="L77" s="243">
        <v>612</v>
      </c>
    </row>
    <row r="78" spans="1:12" ht="15">
      <c r="A78" s="364"/>
      <c r="B78" s="362"/>
      <c r="C78" s="359"/>
      <c r="D78" s="233" t="s">
        <v>164</v>
      </c>
      <c r="E78" s="451">
        <v>200</v>
      </c>
      <c r="F78" s="243"/>
      <c r="G78" s="243">
        <v>200</v>
      </c>
      <c r="H78" s="243">
        <f t="shared" si="3"/>
        <v>200</v>
      </c>
      <c r="I78" s="243">
        <f t="shared" si="4"/>
        <v>0</v>
      </c>
      <c r="J78" s="247"/>
      <c r="K78" s="243">
        <v>200</v>
      </c>
      <c r="L78" s="243">
        <v>200</v>
      </c>
    </row>
    <row r="79" spans="1:12" ht="31.5" customHeight="1">
      <c r="A79" s="364"/>
      <c r="B79" s="362"/>
      <c r="C79" s="359" t="s">
        <v>208</v>
      </c>
      <c r="D79" s="234" t="s">
        <v>218</v>
      </c>
      <c r="E79" s="247"/>
      <c r="F79" s="247"/>
      <c r="G79" s="243"/>
      <c r="H79" s="243">
        <f t="shared" si="3"/>
        <v>0</v>
      </c>
      <c r="I79" s="243">
        <f t="shared" si="4"/>
        <v>0</v>
      </c>
      <c r="J79" s="247"/>
      <c r="K79" s="243"/>
      <c r="L79" s="243"/>
    </row>
    <row r="80" spans="1:12" ht="31.5" customHeight="1">
      <c r="A80" s="364"/>
      <c r="B80" s="362"/>
      <c r="C80" s="359">
        <v>4831</v>
      </c>
      <c r="D80" s="232" t="s">
        <v>244</v>
      </c>
      <c r="E80" s="247"/>
      <c r="F80" s="247"/>
      <c r="G80" s="243"/>
      <c r="H80" s="243">
        <f>+G80-F80</f>
        <v>0</v>
      </c>
      <c r="I80" s="243">
        <f>G80-E80</f>
        <v>0</v>
      </c>
      <c r="J80" s="247"/>
      <c r="K80" s="243"/>
      <c r="L80" s="243"/>
    </row>
    <row r="81" spans="1:12" ht="43.5" customHeight="1">
      <c r="A81" s="364"/>
      <c r="B81" s="362"/>
      <c r="C81" s="359">
        <v>4851</v>
      </c>
      <c r="D81" s="232" t="s">
        <v>245</v>
      </c>
      <c r="E81" s="247"/>
      <c r="F81" s="247"/>
      <c r="G81" s="243"/>
      <c r="H81" s="243">
        <f>+G81-F81</f>
        <v>0</v>
      </c>
      <c r="I81" s="243">
        <f>G81-E81</f>
        <v>0</v>
      </c>
      <c r="J81" s="247"/>
      <c r="K81" s="243"/>
      <c r="L81" s="243"/>
    </row>
    <row r="82" spans="1:12" s="244" customFormat="1" ht="19.5" customHeight="1">
      <c r="A82" s="364"/>
      <c r="B82" s="362"/>
      <c r="C82" s="359">
        <v>4861</v>
      </c>
      <c r="D82" s="234" t="s">
        <v>51</v>
      </c>
      <c r="E82" s="247"/>
      <c r="F82" s="247"/>
      <c r="G82" s="243"/>
      <c r="H82" s="243">
        <f t="shared" si="3"/>
        <v>0</v>
      </c>
      <c r="I82" s="243">
        <f t="shared" si="4"/>
        <v>0</v>
      </c>
      <c r="J82" s="247"/>
      <c r="K82" s="243"/>
      <c r="L82" s="243"/>
    </row>
    <row r="83" spans="1:12" ht="19.5" customHeight="1">
      <c r="A83" s="365"/>
      <c r="B83" s="363"/>
      <c r="C83" s="359">
        <v>4891</v>
      </c>
      <c r="D83" s="234" t="s">
        <v>52</v>
      </c>
      <c r="E83" s="243"/>
      <c r="F83" s="243"/>
      <c r="G83" s="243"/>
      <c r="H83" s="243">
        <f t="shared" si="3"/>
        <v>0</v>
      </c>
      <c r="I83" s="243">
        <f t="shared" si="4"/>
        <v>0</v>
      </c>
      <c r="J83" s="243"/>
      <c r="K83" s="243"/>
      <c r="L83" s="243"/>
    </row>
    <row r="84" spans="4:12" ht="9.75" customHeight="1">
      <c r="D84" s="309"/>
      <c r="E84" s="344"/>
      <c r="F84" s="344"/>
      <c r="G84" s="344"/>
      <c r="H84" s="344"/>
      <c r="I84" s="344"/>
      <c r="J84" s="344"/>
      <c r="K84" s="344"/>
      <c r="L84" s="344"/>
    </row>
    <row r="85" spans="1:12" s="27" customFormat="1" ht="30">
      <c r="A85" s="463" t="s">
        <v>213</v>
      </c>
      <c r="B85" s="463"/>
      <c r="C85" s="245"/>
      <c r="D85" s="34" t="s">
        <v>54</v>
      </c>
      <c r="E85" s="26">
        <f>SUM(E87:E91)</f>
        <v>0</v>
      </c>
      <c r="F85" s="26">
        <f>SUM(F87:F91)</f>
        <v>0</v>
      </c>
      <c r="G85" s="26">
        <f>SUM(G87:G91)</f>
        <v>15814.7</v>
      </c>
      <c r="H85" s="26">
        <f>+G85-F85</f>
        <v>15814.7</v>
      </c>
      <c r="I85" s="26">
        <f>G85-E85</f>
        <v>15814.7</v>
      </c>
      <c r="J85" s="26"/>
      <c r="K85" s="26">
        <f>SUM(K87:K91)</f>
        <v>0</v>
      </c>
      <c r="L85" s="26">
        <f>SUM(L87:L91)</f>
        <v>0</v>
      </c>
    </row>
    <row r="86" spans="1:12" s="19" customFormat="1" ht="23.25" customHeight="1">
      <c r="A86" s="350" t="s">
        <v>214</v>
      </c>
      <c r="B86" s="350" t="s">
        <v>215</v>
      </c>
      <c r="C86" s="246"/>
      <c r="D86" s="16" t="s">
        <v>53</v>
      </c>
      <c r="E86" s="17"/>
      <c r="F86" s="17"/>
      <c r="G86" s="17"/>
      <c r="H86" s="17"/>
      <c r="I86" s="17"/>
      <c r="J86" s="17"/>
      <c r="K86" s="17"/>
      <c r="L86" s="17"/>
    </row>
    <row r="87" spans="1:12" s="33" customFormat="1" ht="15.75" customHeight="1">
      <c r="A87" s="366"/>
      <c r="B87" s="366"/>
      <c r="C87" s="220">
        <v>5121</v>
      </c>
      <c r="D87" s="20" t="s">
        <v>55</v>
      </c>
      <c r="E87" s="35"/>
      <c r="F87" s="35"/>
      <c r="G87" s="212"/>
      <c r="H87" s="212">
        <f t="shared" si="3"/>
        <v>0</v>
      </c>
      <c r="I87" s="212">
        <f>G87-E87</f>
        <v>0</v>
      </c>
      <c r="J87" s="35"/>
      <c r="K87" s="212"/>
      <c r="L87" s="212"/>
    </row>
    <row r="88" spans="1:12" s="33" customFormat="1" ht="15.75" customHeight="1">
      <c r="A88" s="364"/>
      <c r="B88" s="364"/>
      <c r="C88" s="220">
        <v>5122</v>
      </c>
      <c r="D88" s="20" t="s">
        <v>56</v>
      </c>
      <c r="E88" s="35"/>
      <c r="F88" s="35"/>
      <c r="G88" s="212">
        <v>15814.7</v>
      </c>
      <c r="H88" s="212">
        <f t="shared" si="3"/>
        <v>15814.7</v>
      </c>
      <c r="I88" s="212">
        <f>G88-E88</f>
        <v>15814.7</v>
      </c>
      <c r="J88" s="35"/>
      <c r="K88" s="212"/>
      <c r="L88" s="212"/>
    </row>
    <row r="89" spans="1:12" s="33" customFormat="1" ht="15">
      <c r="A89" s="364"/>
      <c r="B89" s="364"/>
      <c r="C89" s="220">
        <v>5129</v>
      </c>
      <c r="D89" s="20" t="s">
        <v>57</v>
      </c>
      <c r="E89" s="35"/>
      <c r="F89" s="35"/>
      <c r="G89" s="212"/>
      <c r="H89" s="212">
        <f t="shared" si="3"/>
        <v>0</v>
      </c>
      <c r="I89" s="212">
        <f>G89-E89</f>
        <v>0</v>
      </c>
      <c r="J89" s="35"/>
      <c r="K89" s="212"/>
      <c r="L89" s="212"/>
    </row>
    <row r="90" spans="1:12" s="33" customFormat="1" ht="15">
      <c r="A90" s="364"/>
      <c r="B90" s="364"/>
      <c r="C90" s="220">
        <v>5131</v>
      </c>
      <c r="D90" s="20" t="s">
        <v>234</v>
      </c>
      <c r="E90" s="35"/>
      <c r="F90" s="35"/>
      <c r="G90" s="212"/>
      <c r="H90" s="212">
        <f>+G90-F90</f>
        <v>0</v>
      </c>
      <c r="I90" s="212">
        <f>G90-E90</f>
        <v>0</v>
      </c>
      <c r="J90" s="35"/>
      <c r="K90" s="212"/>
      <c r="L90" s="212"/>
    </row>
    <row r="91" spans="1:12" s="33" customFormat="1" ht="15.75" customHeight="1">
      <c r="A91" s="365"/>
      <c r="B91" s="365"/>
      <c r="C91" s="220">
        <v>5132</v>
      </c>
      <c r="D91" s="20" t="s">
        <v>58</v>
      </c>
      <c r="E91" s="35"/>
      <c r="F91" s="35"/>
      <c r="G91" s="212"/>
      <c r="H91" s="212">
        <f t="shared" si="3"/>
        <v>0</v>
      </c>
      <c r="I91" s="212">
        <f>G91-E91</f>
        <v>0</v>
      </c>
      <c r="J91" s="35"/>
      <c r="K91" s="212"/>
      <c r="L91" s="212"/>
    </row>
  </sheetData>
  <sheetProtection/>
  <mergeCells count="11">
    <mergeCell ref="A6:B6"/>
    <mergeCell ref="A2:H2"/>
    <mergeCell ref="A85:B85"/>
    <mergeCell ref="A7:B7"/>
    <mergeCell ref="D3:I3"/>
    <mergeCell ref="A10:A18"/>
    <mergeCell ref="B10:B12"/>
    <mergeCell ref="B13:B14"/>
    <mergeCell ref="B15:B16"/>
    <mergeCell ref="B17:B18"/>
    <mergeCell ref="C7:D7"/>
  </mergeCells>
  <conditionalFormatting sqref="C8:D8">
    <cfRule type="cellIs" priority="7" dxfId="0" operator="equal" stopIfTrue="1">
      <formula>0</formula>
    </cfRule>
  </conditionalFormatting>
  <conditionalFormatting sqref="D14:D15">
    <cfRule type="cellIs" priority="3" dxfId="0" operator="equal" stopIfTrue="1">
      <formula>0</formula>
    </cfRule>
  </conditionalFormatting>
  <printOptions/>
  <pageMargins left="0.18" right="0.17" top="0.19" bottom="0.16" header="0.18" footer="0.16"/>
  <pageSetup horizontalDpi="600" verticalDpi="600" orientation="landscape" paperSize="9" scale="80" r:id="rId1"/>
  <headerFooter alignWithMargins="0">
    <oddFooter>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70">
      <selection activeCell="F85" sqref="F85"/>
    </sheetView>
  </sheetViews>
  <sheetFormatPr defaultColWidth="9.140625" defaultRowHeight="12.75"/>
  <cols>
    <col min="1" max="1" width="4.8515625" style="4" customWidth="1"/>
    <col min="2" max="2" width="49.421875" style="5" customWidth="1"/>
    <col min="3" max="3" width="11.57421875" style="5" customWidth="1"/>
    <col min="4" max="4" width="10.28125" style="5" customWidth="1"/>
    <col min="5" max="5" width="20.7109375" style="5" customWidth="1"/>
    <col min="6" max="6" width="8.421875" style="5" bestFit="1" customWidth="1"/>
    <col min="7" max="7" width="20.8515625" style="5" customWidth="1"/>
    <col min="8" max="8" width="11.00390625" style="5" customWidth="1"/>
    <col min="9" max="9" width="21.00390625" style="5" customWidth="1"/>
    <col min="10" max="10" width="13.57421875" style="5" customWidth="1"/>
    <col min="11" max="16384" width="9.140625" style="5" customWidth="1"/>
  </cols>
  <sheetData>
    <row r="1" spans="1:9" s="31" customFormat="1" ht="15">
      <c r="A1" s="249"/>
      <c r="B1" s="3"/>
      <c r="C1" s="3"/>
      <c r="D1" s="3"/>
      <c r="E1" s="107"/>
      <c r="F1" s="107"/>
      <c r="G1" s="30"/>
      <c r="H1" s="30"/>
      <c r="I1" s="120" t="s">
        <v>204</v>
      </c>
    </row>
    <row r="2" spans="1:9" s="31" customFormat="1" ht="12.75" customHeight="1">
      <c r="A2" s="249"/>
      <c r="B2" s="3"/>
      <c r="C2" s="3"/>
      <c r="D2" s="3"/>
      <c r="E2" s="107"/>
      <c r="F2" s="107"/>
      <c r="G2" s="481" t="s">
        <v>9</v>
      </c>
      <c r="H2" s="481"/>
      <c r="I2" s="481"/>
    </row>
    <row r="3" spans="1:6" s="31" customFormat="1" ht="15" thickBot="1">
      <c r="A3" s="30"/>
      <c r="B3" s="195" t="s">
        <v>329</v>
      </c>
      <c r="C3" s="195"/>
      <c r="D3" s="195"/>
      <c r="E3" s="195"/>
      <c r="F3" s="368"/>
    </row>
    <row r="4" spans="1:12" s="172" customFormat="1" ht="17.25" customHeight="1">
      <c r="A4" s="30"/>
      <c r="B4" s="327" t="s">
        <v>10</v>
      </c>
      <c r="E4" s="320"/>
      <c r="F4" s="368"/>
      <c r="G4" s="171"/>
      <c r="H4" s="171"/>
      <c r="I4" s="171"/>
      <c r="J4" s="171"/>
      <c r="K4" s="171"/>
      <c r="L4" s="171"/>
    </row>
    <row r="5" spans="1:9" s="31" customFormat="1" ht="54.75" customHeight="1">
      <c r="A5" s="328" t="s">
        <v>252</v>
      </c>
      <c r="B5" s="333"/>
      <c r="C5" s="321"/>
      <c r="D5" s="321"/>
      <c r="E5" s="321"/>
      <c r="F5" s="321"/>
      <c r="G5" s="321"/>
      <c r="H5" s="321"/>
      <c r="I5" s="121"/>
    </row>
    <row r="6" spans="1:8" s="31" customFormat="1" ht="15" thickBot="1">
      <c r="A6" s="30"/>
      <c r="G6" s="288" t="s">
        <v>187</v>
      </c>
      <c r="H6" s="297"/>
    </row>
    <row r="7" spans="1:9" s="87" customFormat="1" ht="46.5" customHeight="1" thickBot="1">
      <c r="A7" s="322"/>
      <c r="B7" s="323"/>
      <c r="C7" s="324"/>
      <c r="D7" s="482" t="s">
        <v>253</v>
      </c>
      <c r="E7" s="483"/>
      <c r="F7" s="482" t="s">
        <v>254</v>
      </c>
      <c r="G7" s="483"/>
      <c r="H7" s="484" t="s">
        <v>255</v>
      </c>
      <c r="I7" s="485"/>
    </row>
    <row r="8" spans="1:9" s="105" customFormat="1" ht="55.5" customHeight="1" thickBot="1">
      <c r="A8" s="325" t="s">
        <v>5</v>
      </c>
      <c r="B8" s="322" t="s">
        <v>197</v>
      </c>
      <c r="C8" s="326" t="s">
        <v>203</v>
      </c>
      <c r="D8" s="315" t="s">
        <v>146</v>
      </c>
      <c r="E8" s="307" t="s">
        <v>217</v>
      </c>
      <c r="F8" s="315" t="s">
        <v>146</v>
      </c>
      <c r="G8" s="315" t="s">
        <v>217</v>
      </c>
      <c r="H8" s="315" t="s">
        <v>146</v>
      </c>
      <c r="I8" s="369" t="s">
        <v>217</v>
      </c>
    </row>
    <row r="9" spans="1:9" s="106" customFormat="1" ht="11.25" thickBot="1">
      <c r="A9" s="197">
        <v>1</v>
      </c>
      <c r="B9" s="334">
        <v>2</v>
      </c>
      <c r="C9" s="196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</row>
    <row r="10" spans="1:9" s="199" customFormat="1" ht="22.5" customHeight="1">
      <c r="A10" s="316">
        <v>1</v>
      </c>
      <c r="B10" s="335" t="s">
        <v>21</v>
      </c>
      <c r="C10" s="317">
        <v>4212</v>
      </c>
      <c r="D10" s="317"/>
      <c r="E10" s="318">
        <f>SUM(E13:E15)</f>
        <v>11530.1</v>
      </c>
      <c r="F10" s="318"/>
      <c r="G10" s="318">
        <f>SUM(G13:G15)</f>
        <v>12516.2</v>
      </c>
      <c r="H10" s="318">
        <f>F10-D10</f>
        <v>0</v>
      </c>
      <c r="I10" s="318">
        <f>G10-E10</f>
        <v>986.1000000000004</v>
      </c>
    </row>
    <row r="11" spans="1:9" s="38" customFormat="1" ht="15">
      <c r="A11" s="76"/>
      <c r="B11" s="319" t="s">
        <v>108</v>
      </c>
      <c r="C11" s="76"/>
      <c r="D11" s="76"/>
      <c r="E11" s="78"/>
      <c r="F11" s="78"/>
      <c r="G11" s="102"/>
      <c r="H11" s="102"/>
      <c r="I11" s="102"/>
    </row>
    <row r="12" spans="1:9" s="38" customFormat="1" ht="15">
      <c r="A12" s="76"/>
      <c r="B12" s="336" t="s">
        <v>206</v>
      </c>
      <c r="C12" s="76"/>
      <c r="D12" s="76"/>
      <c r="E12" s="78"/>
      <c r="F12" s="78"/>
      <c r="G12" s="102"/>
      <c r="H12" s="102"/>
      <c r="I12" s="102"/>
    </row>
    <row r="13" spans="1:9" s="38" customFormat="1" ht="15">
      <c r="A13" s="76">
        <v>1</v>
      </c>
      <c r="B13" s="438" t="s">
        <v>21</v>
      </c>
      <c r="C13" s="76" t="s">
        <v>1</v>
      </c>
      <c r="D13" s="439">
        <v>199446</v>
      </c>
      <c r="E13" s="78">
        <v>5947</v>
      </c>
      <c r="F13" s="76">
        <v>199446</v>
      </c>
      <c r="G13" s="78">
        <v>6933.1</v>
      </c>
      <c r="H13" s="78">
        <f aca="true" t="shared" si="0" ref="H13:I16">F13-D13</f>
        <v>0</v>
      </c>
      <c r="I13" s="78">
        <f t="shared" si="0"/>
        <v>986.1000000000004</v>
      </c>
    </row>
    <row r="14" spans="1:9" s="38" customFormat="1" ht="15">
      <c r="A14" s="76">
        <v>2</v>
      </c>
      <c r="B14" s="440" t="s">
        <v>330</v>
      </c>
      <c r="C14" s="76" t="s">
        <v>1</v>
      </c>
      <c r="D14" s="439">
        <v>40166.3</v>
      </c>
      <c r="E14" s="78">
        <v>5583.1</v>
      </c>
      <c r="F14" s="76">
        <v>40166.3</v>
      </c>
      <c r="G14" s="78">
        <v>5583.1</v>
      </c>
      <c r="H14" s="78">
        <f t="shared" si="0"/>
        <v>0</v>
      </c>
      <c r="I14" s="78">
        <f t="shared" si="0"/>
        <v>0</v>
      </c>
    </row>
    <row r="15" spans="1:9" s="38" customFormat="1" ht="15">
      <c r="A15" s="76">
        <v>3</v>
      </c>
      <c r="B15" s="337"/>
      <c r="C15" s="76" t="s">
        <v>1</v>
      </c>
      <c r="D15" s="76"/>
      <c r="E15" s="78"/>
      <c r="F15" s="78"/>
      <c r="G15" s="78"/>
      <c r="H15" s="78">
        <f t="shared" si="0"/>
        <v>0</v>
      </c>
      <c r="I15" s="78">
        <f t="shared" si="0"/>
        <v>0</v>
      </c>
    </row>
    <row r="16" spans="1:9" s="199" customFormat="1" ht="23.25" customHeight="1">
      <c r="A16" s="316">
        <v>2</v>
      </c>
      <c r="B16" s="335" t="s">
        <v>22</v>
      </c>
      <c r="C16" s="317">
        <v>4213</v>
      </c>
      <c r="D16" s="317"/>
      <c r="E16" s="318">
        <f>SUM(E19:E20)</f>
        <v>1596</v>
      </c>
      <c r="F16" s="441"/>
      <c r="G16" s="318">
        <f>SUM(G19:G20)</f>
        <v>1596</v>
      </c>
      <c r="H16" s="318">
        <f t="shared" si="0"/>
        <v>0</v>
      </c>
      <c r="I16" s="318">
        <f t="shared" si="0"/>
        <v>0</v>
      </c>
    </row>
    <row r="17" spans="1:9" s="38" customFormat="1" ht="15">
      <c r="A17" s="200"/>
      <c r="B17" s="319" t="s">
        <v>108</v>
      </c>
      <c r="C17" s="76"/>
      <c r="D17" s="76"/>
      <c r="E17" s="78"/>
      <c r="F17" s="439"/>
      <c r="G17" s="102"/>
      <c r="H17" s="102"/>
      <c r="I17" s="102"/>
    </row>
    <row r="18" spans="1:9" s="38" customFormat="1" ht="15">
      <c r="A18" s="332"/>
      <c r="B18" s="336" t="s">
        <v>206</v>
      </c>
      <c r="C18" s="76"/>
      <c r="D18" s="76"/>
      <c r="E18" s="78"/>
      <c r="F18" s="439"/>
      <c r="G18" s="102"/>
      <c r="H18" s="102"/>
      <c r="I18" s="102"/>
    </row>
    <row r="19" spans="1:9" s="38" customFormat="1" ht="15">
      <c r="A19" s="76">
        <v>1</v>
      </c>
      <c r="B19" s="442" t="s">
        <v>331</v>
      </c>
      <c r="C19" s="76" t="s">
        <v>1</v>
      </c>
      <c r="D19" s="76">
        <v>1</v>
      </c>
      <c r="E19" s="78">
        <v>1500</v>
      </c>
      <c r="F19" s="439">
        <v>1</v>
      </c>
      <c r="G19" s="78">
        <v>1500</v>
      </c>
      <c r="H19" s="78"/>
      <c r="I19" s="78">
        <f aca="true" t="shared" si="1" ref="H19:I21">G19-E19</f>
        <v>0</v>
      </c>
    </row>
    <row r="20" spans="1:9" s="38" customFormat="1" ht="15">
      <c r="A20" s="76">
        <v>2</v>
      </c>
      <c r="B20" s="443" t="s">
        <v>332</v>
      </c>
      <c r="C20" s="76" t="s">
        <v>1</v>
      </c>
      <c r="D20" s="76">
        <v>1</v>
      </c>
      <c r="E20" s="78">
        <v>96</v>
      </c>
      <c r="F20" s="439">
        <v>1</v>
      </c>
      <c r="G20" s="78">
        <v>96</v>
      </c>
      <c r="H20" s="78"/>
      <c r="I20" s="78">
        <f t="shared" si="1"/>
        <v>0</v>
      </c>
    </row>
    <row r="21" spans="1:9" s="199" customFormat="1" ht="23.25" customHeight="1">
      <c r="A21" s="316">
        <v>3</v>
      </c>
      <c r="B21" s="335" t="s">
        <v>24</v>
      </c>
      <c r="C21" s="317">
        <v>4214</v>
      </c>
      <c r="D21" s="317"/>
      <c r="E21" s="318">
        <f>SUM(E24:E26)</f>
        <v>4236.9</v>
      </c>
      <c r="F21" s="441"/>
      <c r="G21" s="318">
        <f>SUM(G24:G26)</f>
        <v>4488.1</v>
      </c>
      <c r="H21" s="318">
        <f t="shared" si="1"/>
        <v>0</v>
      </c>
      <c r="I21" s="318">
        <f t="shared" si="1"/>
        <v>251.20000000000073</v>
      </c>
    </row>
    <row r="22" spans="1:9" s="38" customFormat="1" ht="15">
      <c r="A22" s="200"/>
      <c r="B22" s="319" t="s">
        <v>108</v>
      </c>
      <c r="C22" s="76"/>
      <c r="D22" s="76"/>
      <c r="E22" s="78"/>
      <c r="F22" s="439"/>
      <c r="G22" s="102"/>
      <c r="H22" s="102"/>
      <c r="I22" s="102"/>
    </row>
    <row r="23" spans="1:9" s="38" customFormat="1" ht="15">
      <c r="A23" s="332"/>
      <c r="B23" s="336" t="s">
        <v>206</v>
      </c>
      <c r="C23" s="76"/>
      <c r="D23" s="76"/>
      <c r="E23" s="78"/>
      <c r="F23" s="439"/>
      <c r="G23" s="102"/>
      <c r="H23" s="102"/>
      <c r="I23" s="102"/>
    </row>
    <row r="24" spans="1:9" s="38" customFormat="1" ht="15">
      <c r="A24" s="76">
        <v>1</v>
      </c>
      <c r="B24" s="442" t="s">
        <v>333</v>
      </c>
      <c r="C24" s="76" t="s">
        <v>1</v>
      </c>
      <c r="D24" s="76">
        <v>1</v>
      </c>
      <c r="E24" s="78">
        <v>1000</v>
      </c>
      <c r="F24" s="439">
        <v>1</v>
      </c>
      <c r="G24" s="78">
        <v>1000</v>
      </c>
      <c r="H24" s="78">
        <f aca="true" t="shared" si="2" ref="H24:I26">F24-D24</f>
        <v>0</v>
      </c>
      <c r="I24" s="78">
        <f t="shared" si="2"/>
        <v>0</v>
      </c>
    </row>
    <row r="25" spans="1:9" s="38" customFormat="1" ht="15">
      <c r="A25" s="76">
        <v>2</v>
      </c>
      <c r="B25" s="443" t="s">
        <v>334</v>
      </c>
      <c r="C25" s="76" t="s">
        <v>1</v>
      </c>
      <c r="D25" s="76">
        <v>1</v>
      </c>
      <c r="E25" s="78">
        <v>3036.9</v>
      </c>
      <c r="F25" s="439">
        <v>1</v>
      </c>
      <c r="G25" s="78">
        <v>3288.1</v>
      </c>
      <c r="H25" s="78">
        <f t="shared" si="2"/>
        <v>0</v>
      </c>
      <c r="I25" s="78">
        <f t="shared" si="2"/>
        <v>251.19999999999982</v>
      </c>
    </row>
    <row r="26" spans="1:9" s="38" customFormat="1" ht="15">
      <c r="A26" s="76">
        <v>3</v>
      </c>
      <c r="B26" s="443" t="s">
        <v>335</v>
      </c>
      <c r="C26" s="76" t="s">
        <v>1</v>
      </c>
      <c r="D26" s="76">
        <v>1</v>
      </c>
      <c r="E26" s="78">
        <v>200</v>
      </c>
      <c r="F26" s="439">
        <v>1</v>
      </c>
      <c r="G26" s="78">
        <v>200</v>
      </c>
      <c r="H26" s="78">
        <f t="shared" si="2"/>
        <v>0</v>
      </c>
      <c r="I26" s="78">
        <f t="shared" si="2"/>
        <v>0</v>
      </c>
    </row>
    <row r="27" spans="1:9" s="199" customFormat="1" ht="23.25" customHeight="1">
      <c r="A27" s="316" t="s">
        <v>173</v>
      </c>
      <c r="B27" s="335" t="s">
        <v>25</v>
      </c>
      <c r="C27" s="317">
        <v>4215</v>
      </c>
      <c r="D27" s="317"/>
      <c r="E27" s="318">
        <f>SUM(E30:E30)</f>
        <v>650</v>
      </c>
      <c r="F27" s="441"/>
      <c r="G27" s="318">
        <f>SUM(G30:G30)</f>
        <v>650</v>
      </c>
      <c r="H27" s="318">
        <f>F27-D27</f>
        <v>0</v>
      </c>
      <c r="I27" s="318">
        <f>G27-E27</f>
        <v>0</v>
      </c>
    </row>
    <row r="28" spans="1:9" s="38" customFormat="1" ht="15">
      <c r="A28" s="200"/>
      <c r="B28" s="319" t="s">
        <v>108</v>
      </c>
      <c r="C28" s="76"/>
      <c r="D28" s="76"/>
      <c r="E28" s="78"/>
      <c r="F28" s="439"/>
      <c r="G28" s="102"/>
      <c r="H28" s="102"/>
      <c r="I28" s="102"/>
    </row>
    <row r="29" spans="1:9" s="38" customFormat="1" ht="15">
      <c r="A29" s="332"/>
      <c r="B29" s="336" t="s">
        <v>206</v>
      </c>
      <c r="C29" s="76"/>
      <c r="D29" s="76"/>
      <c r="E29" s="78"/>
      <c r="F29" s="439"/>
      <c r="G29" s="102"/>
      <c r="H29" s="102"/>
      <c r="I29" s="102"/>
    </row>
    <row r="30" spans="1:9" s="38" customFormat="1" ht="15">
      <c r="A30" s="76">
        <v>1</v>
      </c>
      <c r="B30" s="442" t="s">
        <v>336</v>
      </c>
      <c r="C30" s="76" t="s">
        <v>1</v>
      </c>
      <c r="D30" s="76">
        <v>1</v>
      </c>
      <c r="E30" s="78">
        <v>650</v>
      </c>
      <c r="F30" s="439">
        <v>1</v>
      </c>
      <c r="G30" s="78">
        <v>650</v>
      </c>
      <c r="H30" s="78">
        <f>F30-D30</f>
        <v>0</v>
      </c>
      <c r="I30" s="78">
        <f>G30-E30</f>
        <v>0</v>
      </c>
    </row>
    <row r="31" spans="1:9" s="199" customFormat="1" ht="23.25" customHeight="1">
      <c r="A31" s="316" t="s">
        <v>173</v>
      </c>
      <c r="B31" s="335" t="s">
        <v>30</v>
      </c>
      <c r="C31" s="317">
        <v>4231</v>
      </c>
      <c r="D31" s="317"/>
      <c r="E31" s="318">
        <f>SUM(E34:E34)</f>
        <v>300</v>
      </c>
      <c r="F31" s="441"/>
      <c r="G31" s="318">
        <f>SUM(G34:G34)</f>
        <v>300</v>
      </c>
      <c r="H31" s="318">
        <f>F31-D31</f>
        <v>0</v>
      </c>
      <c r="I31" s="318">
        <f>G31-E31</f>
        <v>0</v>
      </c>
    </row>
    <row r="32" spans="1:9" s="38" customFormat="1" ht="15">
      <c r="A32" s="200"/>
      <c r="B32" s="319" t="s">
        <v>108</v>
      </c>
      <c r="C32" s="76"/>
      <c r="D32" s="76"/>
      <c r="E32" s="78"/>
      <c r="F32" s="439"/>
      <c r="G32" s="102"/>
      <c r="H32" s="102"/>
      <c r="I32" s="102"/>
    </row>
    <row r="33" spans="1:9" s="38" customFormat="1" ht="15">
      <c r="A33" s="332"/>
      <c r="B33" s="336" t="s">
        <v>206</v>
      </c>
      <c r="C33" s="76"/>
      <c r="D33" s="76"/>
      <c r="E33" s="78"/>
      <c r="F33" s="439"/>
      <c r="G33" s="102"/>
      <c r="H33" s="102"/>
      <c r="I33" s="102"/>
    </row>
    <row r="34" spans="1:9" s="38" customFormat="1" ht="15">
      <c r="A34" s="76">
        <v>1</v>
      </c>
      <c r="B34" s="442" t="s">
        <v>337</v>
      </c>
      <c r="C34" s="76" t="s">
        <v>1</v>
      </c>
      <c r="D34" s="76">
        <v>1</v>
      </c>
      <c r="E34" s="78">
        <v>300</v>
      </c>
      <c r="F34" s="439">
        <v>1</v>
      </c>
      <c r="G34" s="78">
        <v>300</v>
      </c>
      <c r="H34" s="78">
        <f>F34-D34</f>
        <v>0</v>
      </c>
      <c r="I34" s="78">
        <f>G34-E34</f>
        <v>0</v>
      </c>
    </row>
    <row r="35" spans="1:9" s="199" customFormat="1" ht="23.25" customHeight="1">
      <c r="A35" s="316" t="s">
        <v>173</v>
      </c>
      <c r="B35" s="335" t="s">
        <v>31</v>
      </c>
      <c r="C35" s="317">
        <v>4232</v>
      </c>
      <c r="D35" s="317"/>
      <c r="E35" s="318">
        <f>SUM(E38:E41)</f>
        <v>2028</v>
      </c>
      <c r="F35" s="441"/>
      <c r="G35" s="318">
        <f>SUM(G38:G41)</f>
        <v>2430</v>
      </c>
      <c r="H35" s="318">
        <f>F35-D35</f>
        <v>0</v>
      </c>
      <c r="I35" s="318">
        <f>G35-E35</f>
        <v>402</v>
      </c>
    </row>
    <row r="36" spans="1:9" s="38" customFormat="1" ht="15">
      <c r="A36" s="200"/>
      <c r="B36" s="319" t="s">
        <v>108</v>
      </c>
      <c r="C36" s="76"/>
      <c r="D36" s="76"/>
      <c r="E36" s="78"/>
      <c r="F36" s="439"/>
      <c r="G36" s="102"/>
      <c r="H36" s="102"/>
      <c r="I36" s="102"/>
    </row>
    <row r="37" spans="1:9" s="38" customFormat="1" ht="15">
      <c r="A37" s="332"/>
      <c r="B37" s="336" t="s">
        <v>206</v>
      </c>
      <c r="C37" s="76"/>
      <c r="D37" s="76"/>
      <c r="E37" s="78"/>
      <c r="F37" s="439"/>
      <c r="G37" s="102"/>
      <c r="H37" s="102"/>
      <c r="I37" s="102"/>
    </row>
    <row r="38" spans="1:9" s="38" customFormat="1" ht="15">
      <c r="A38" s="76">
        <v>1</v>
      </c>
      <c r="B38" s="444" t="s">
        <v>338</v>
      </c>
      <c r="C38" s="76" t="s">
        <v>1</v>
      </c>
      <c r="D38" s="76">
        <v>1</v>
      </c>
      <c r="E38" s="78">
        <v>300</v>
      </c>
      <c r="F38" s="439">
        <v>1</v>
      </c>
      <c r="G38" s="78">
        <v>390</v>
      </c>
      <c r="H38" s="78">
        <f aca="true" t="shared" si="3" ref="H38:I42">F38-D38</f>
        <v>0</v>
      </c>
      <c r="I38" s="78">
        <f t="shared" si="3"/>
        <v>90</v>
      </c>
    </row>
    <row r="39" spans="1:9" s="38" customFormat="1" ht="15">
      <c r="A39" s="76">
        <v>2</v>
      </c>
      <c r="B39" s="444" t="s">
        <v>339</v>
      </c>
      <c r="C39" s="76" t="s">
        <v>1</v>
      </c>
      <c r="D39" s="76">
        <v>1</v>
      </c>
      <c r="E39" s="78">
        <v>720</v>
      </c>
      <c r="F39" s="439">
        <v>1</v>
      </c>
      <c r="G39" s="78">
        <v>1440</v>
      </c>
      <c r="H39" s="78">
        <f t="shared" si="3"/>
        <v>0</v>
      </c>
      <c r="I39" s="78">
        <f t="shared" si="3"/>
        <v>720</v>
      </c>
    </row>
    <row r="40" spans="1:9" s="38" customFormat="1" ht="22.5">
      <c r="A40" s="76"/>
      <c r="B40" s="444" t="s">
        <v>340</v>
      </c>
      <c r="C40" s="76" t="s">
        <v>1</v>
      </c>
      <c r="D40" s="76"/>
      <c r="E40" s="78">
        <v>600</v>
      </c>
      <c r="F40" s="439">
        <v>1</v>
      </c>
      <c r="G40" s="78">
        <v>600</v>
      </c>
      <c r="H40" s="78"/>
      <c r="I40" s="78">
        <f t="shared" si="3"/>
        <v>0</v>
      </c>
    </row>
    <row r="41" spans="1:9" s="38" customFormat="1" ht="15">
      <c r="A41" s="76"/>
      <c r="B41" s="444" t="s">
        <v>341</v>
      </c>
      <c r="C41" s="76" t="s">
        <v>1</v>
      </c>
      <c r="D41" s="76">
        <v>1</v>
      </c>
      <c r="E41" s="78">
        <v>408</v>
      </c>
      <c r="F41" s="439"/>
      <c r="G41" s="78"/>
      <c r="H41" s="78"/>
      <c r="I41" s="78">
        <f t="shared" si="3"/>
        <v>-408</v>
      </c>
    </row>
    <row r="42" spans="1:9" s="199" customFormat="1" ht="23.25" customHeight="1">
      <c r="A42" s="316" t="s">
        <v>173</v>
      </c>
      <c r="B42" s="335" t="s">
        <v>32</v>
      </c>
      <c r="C42" s="317">
        <v>4234</v>
      </c>
      <c r="D42" s="317"/>
      <c r="E42" s="318">
        <f>SUM(E45:E47)</f>
        <v>2160.4</v>
      </c>
      <c r="F42" s="441"/>
      <c r="G42" s="318">
        <f>SUM(G45:G47)</f>
        <v>3571.4</v>
      </c>
      <c r="H42" s="318">
        <f t="shared" si="3"/>
        <v>0</v>
      </c>
      <c r="I42" s="318">
        <f t="shared" si="3"/>
        <v>1411</v>
      </c>
    </row>
    <row r="43" spans="1:9" s="38" customFormat="1" ht="15">
      <c r="A43" s="200"/>
      <c r="B43" s="319" t="s">
        <v>108</v>
      </c>
      <c r="C43" s="76"/>
      <c r="D43" s="76"/>
      <c r="E43" s="78"/>
      <c r="F43" s="439"/>
      <c r="G43" s="102"/>
      <c r="H43" s="102"/>
      <c r="I43" s="102"/>
    </row>
    <row r="44" spans="1:9" s="38" customFormat="1" ht="15">
      <c r="A44" s="332"/>
      <c r="B44" s="336" t="s">
        <v>206</v>
      </c>
      <c r="C44" s="76"/>
      <c r="D44" s="76"/>
      <c r="E44" s="78"/>
      <c r="F44" s="439"/>
      <c r="G44" s="102"/>
      <c r="H44" s="102"/>
      <c r="I44" s="102"/>
    </row>
    <row r="45" spans="1:9" s="38" customFormat="1" ht="15">
      <c r="A45" s="76">
        <v>1</v>
      </c>
      <c r="B45" s="438" t="s">
        <v>342</v>
      </c>
      <c r="C45" s="76" t="s">
        <v>1</v>
      </c>
      <c r="D45" s="76">
        <v>2202</v>
      </c>
      <c r="E45" s="78">
        <v>595.8</v>
      </c>
      <c r="F45" s="439">
        <v>2262</v>
      </c>
      <c r="G45" s="78">
        <v>601.8</v>
      </c>
      <c r="H45" s="78">
        <f aca="true" t="shared" si="4" ref="H45:I47">F45-D45</f>
        <v>60</v>
      </c>
      <c r="I45" s="78">
        <f t="shared" si="4"/>
        <v>6</v>
      </c>
    </row>
    <row r="46" spans="1:9" s="38" customFormat="1" ht="15">
      <c r="A46" s="76">
        <v>2</v>
      </c>
      <c r="B46" s="443" t="s">
        <v>343</v>
      </c>
      <c r="C46" s="76" t="s">
        <v>1</v>
      </c>
      <c r="D46" s="76">
        <v>1</v>
      </c>
      <c r="E46" s="78">
        <v>569.6</v>
      </c>
      <c r="F46" s="439">
        <v>1</v>
      </c>
      <c r="G46" s="78">
        <v>569.6</v>
      </c>
      <c r="H46" s="78">
        <f t="shared" si="4"/>
        <v>0</v>
      </c>
      <c r="I46" s="78">
        <f t="shared" si="4"/>
        <v>0</v>
      </c>
    </row>
    <row r="47" spans="1:9" s="38" customFormat="1" ht="15">
      <c r="A47" s="76">
        <v>3</v>
      </c>
      <c r="B47" s="443" t="s">
        <v>344</v>
      </c>
      <c r="C47" s="76" t="s">
        <v>1</v>
      </c>
      <c r="D47" s="76">
        <v>1</v>
      </c>
      <c r="E47" s="78">
        <v>995</v>
      </c>
      <c r="F47" s="439">
        <v>1</v>
      </c>
      <c r="G47" s="72">
        <v>2400</v>
      </c>
      <c r="H47" s="78">
        <f t="shared" si="4"/>
        <v>0</v>
      </c>
      <c r="I47" s="78">
        <f t="shared" si="4"/>
        <v>1405</v>
      </c>
    </row>
    <row r="48" spans="1:9" s="199" customFormat="1" ht="23.25" customHeight="1">
      <c r="A48" s="316" t="s">
        <v>173</v>
      </c>
      <c r="B48" s="335" t="s">
        <v>34</v>
      </c>
      <c r="C48" s="317">
        <v>4236</v>
      </c>
      <c r="D48" s="317"/>
      <c r="E48" s="318">
        <f>SUM(E51:E51)</f>
        <v>60</v>
      </c>
      <c r="F48" s="441"/>
      <c r="G48" s="318">
        <f>SUM(G51:G51)</f>
        <v>100</v>
      </c>
      <c r="H48" s="318">
        <f>F48-D48</f>
        <v>0</v>
      </c>
      <c r="I48" s="318">
        <f>G48-E48</f>
        <v>40</v>
      </c>
    </row>
    <row r="49" spans="1:9" s="38" customFormat="1" ht="15">
      <c r="A49" s="200"/>
      <c r="B49" s="319" t="s">
        <v>108</v>
      </c>
      <c r="C49" s="76"/>
      <c r="D49" s="76"/>
      <c r="E49" s="78"/>
      <c r="F49" s="439"/>
      <c r="G49" s="102"/>
      <c r="H49" s="102"/>
      <c r="I49" s="102"/>
    </row>
    <row r="50" spans="1:9" s="38" customFormat="1" ht="15">
      <c r="A50" s="332"/>
      <c r="B50" s="336" t="s">
        <v>206</v>
      </c>
      <c r="C50" s="76"/>
      <c r="D50" s="76"/>
      <c r="E50" s="78"/>
      <c r="F50" s="439"/>
      <c r="G50" s="102"/>
      <c r="H50" s="102"/>
      <c r="I50" s="102"/>
    </row>
    <row r="51" spans="1:9" s="38" customFormat="1" ht="15">
      <c r="A51" s="76">
        <v>1</v>
      </c>
      <c r="B51" s="444" t="s">
        <v>345</v>
      </c>
      <c r="C51" s="76" t="s">
        <v>1</v>
      </c>
      <c r="D51" s="76">
        <v>1</v>
      </c>
      <c r="E51" s="78">
        <v>60</v>
      </c>
      <c r="F51" s="439">
        <v>1</v>
      </c>
      <c r="G51" s="78">
        <v>100</v>
      </c>
      <c r="H51" s="78">
        <f>F51-D51</f>
        <v>0</v>
      </c>
      <c r="I51" s="78">
        <f>G51-E51</f>
        <v>40</v>
      </c>
    </row>
    <row r="52" spans="1:9" s="199" customFormat="1" ht="23.25" customHeight="1">
      <c r="A52" s="316" t="s">
        <v>173</v>
      </c>
      <c r="B52" s="335" t="s">
        <v>346</v>
      </c>
      <c r="C52" s="317">
        <v>4237</v>
      </c>
      <c r="D52" s="317"/>
      <c r="E52" s="318">
        <f>SUM(E55:E55)</f>
        <v>15790</v>
      </c>
      <c r="F52" s="441"/>
      <c r="G52" s="318">
        <f>SUM(G55:G55)</f>
        <v>15790</v>
      </c>
      <c r="H52" s="318">
        <f>F52-D52</f>
        <v>0</v>
      </c>
      <c r="I52" s="318">
        <f>G52-E52</f>
        <v>0</v>
      </c>
    </row>
    <row r="53" spans="1:9" s="38" customFormat="1" ht="15">
      <c r="A53" s="200"/>
      <c r="B53" s="319" t="s">
        <v>108</v>
      </c>
      <c r="C53" s="76"/>
      <c r="D53" s="76"/>
      <c r="E53" s="78"/>
      <c r="F53" s="439"/>
      <c r="G53" s="102"/>
      <c r="H53" s="102"/>
      <c r="I53" s="102"/>
    </row>
    <row r="54" spans="1:9" s="38" customFormat="1" ht="15">
      <c r="A54" s="332"/>
      <c r="B54" s="336" t="s">
        <v>206</v>
      </c>
      <c r="C54" s="76"/>
      <c r="D54" s="76"/>
      <c r="E54" s="78"/>
      <c r="F54" s="439"/>
      <c r="G54" s="102"/>
      <c r="H54" s="102"/>
      <c r="I54" s="102"/>
    </row>
    <row r="55" spans="1:9" s="38" customFormat="1" ht="15">
      <c r="A55" s="76">
        <v>1</v>
      </c>
      <c r="B55" s="444" t="s">
        <v>347</v>
      </c>
      <c r="C55" s="76" t="s">
        <v>1</v>
      </c>
      <c r="D55" s="76">
        <v>1</v>
      </c>
      <c r="E55" s="78">
        <v>15790</v>
      </c>
      <c r="F55" s="439">
        <v>1</v>
      </c>
      <c r="G55" s="78">
        <v>15790</v>
      </c>
      <c r="H55" s="78">
        <f>F55-D55</f>
        <v>0</v>
      </c>
      <c r="I55" s="78">
        <f>G55-E55</f>
        <v>0</v>
      </c>
    </row>
    <row r="56" spans="1:9" s="199" customFormat="1" ht="23.25" customHeight="1">
      <c r="A56" s="316" t="s">
        <v>173</v>
      </c>
      <c r="B56" s="335" t="s">
        <v>348</v>
      </c>
      <c r="C56" s="317">
        <v>4241</v>
      </c>
      <c r="D56" s="317"/>
      <c r="E56" s="318">
        <f>SUM(E59:E60)</f>
        <v>300</v>
      </c>
      <c r="F56" s="441"/>
      <c r="G56" s="318">
        <f>SUM(G59:G60)</f>
        <v>300</v>
      </c>
      <c r="H56" s="318">
        <f>F56-D56</f>
        <v>0</v>
      </c>
      <c r="I56" s="318">
        <f>G56-E56</f>
        <v>0</v>
      </c>
    </row>
    <row r="57" spans="1:9" s="38" customFormat="1" ht="15">
      <c r="A57" s="200"/>
      <c r="B57" s="319" t="s">
        <v>108</v>
      </c>
      <c r="C57" s="76"/>
      <c r="D57" s="76"/>
      <c r="E57" s="78"/>
      <c r="F57" s="439"/>
      <c r="G57" s="102"/>
      <c r="H57" s="102"/>
      <c r="I57" s="102"/>
    </row>
    <row r="58" spans="1:9" s="38" customFormat="1" ht="15">
      <c r="A58" s="332"/>
      <c r="B58" s="336" t="s">
        <v>206</v>
      </c>
      <c r="C58" s="76"/>
      <c r="D58" s="76"/>
      <c r="E58" s="78"/>
      <c r="F58" s="439"/>
      <c r="G58" s="102"/>
      <c r="H58" s="102"/>
      <c r="I58" s="102"/>
    </row>
    <row r="59" spans="1:9" s="38" customFormat="1" ht="22.5">
      <c r="A59" s="332">
        <v>1</v>
      </c>
      <c r="B59" s="444" t="s">
        <v>349</v>
      </c>
      <c r="C59" s="76"/>
      <c r="D59" s="76">
        <v>1</v>
      </c>
      <c r="E59" s="78">
        <v>100</v>
      </c>
      <c r="F59" s="439">
        <v>1</v>
      </c>
      <c r="G59" s="78">
        <v>100</v>
      </c>
      <c r="H59" s="102"/>
      <c r="I59" s="102"/>
    </row>
    <row r="60" spans="1:9" s="38" customFormat="1" ht="15">
      <c r="A60" s="76">
        <v>2</v>
      </c>
      <c r="B60" s="444" t="s">
        <v>350</v>
      </c>
      <c r="C60" s="76" t="s">
        <v>1</v>
      </c>
      <c r="D60" s="76">
        <v>1</v>
      </c>
      <c r="E60" s="78">
        <v>200</v>
      </c>
      <c r="F60" s="439">
        <v>1</v>
      </c>
      <c r="G60" s="78">
        <v>200</v>
      </c>
      <c r="H60" s="78">
        <f>F60-D60</f>
        <v>0</v>
      </c>
      <c r="I60" s="78">
        <f>G60-E60</f>
        <v>0</v>
      </c>
    </row>
    <row r="61" spans="1:9" s="199" customFormat="1" ht="23.25" customHeight="1">
      <c r="A61" s="316" t="s">
        <v>173</v>
      </c>
      <c r="B61" s="316" t="s">
        <v>351</v>
      </c>
      <c r="C61" s="317">
        <v>4251</v>
      </c>
      <c r="D61" s="317"/>
      <c r="E61" s="318">
        <f>SUM(E64:E64)</f>
        <v>1000</v>
      </c>
      <c r="F61" s="441"/>
      <c r="G61" s="318">
        <f>SUM(G64:G64)</f>
        <v>7622.4</v>
      </c>
      <c r="H61" s="318">
        <f>F61-D61</f>
        <v>0</v>
      </c>
      <c r="I61" s="318">
        <f>G61-E61</f>
        <v>6622.4</v>
      </c>
    </row>
    <row r="62" spans="1:9" s="38" customFormat="1" ht="15">
      <c r="A62" s="200"/>
      <c r="B62" s="319" t="s">
        <v>108</v>
      </c>
      <c r="C62" s="76"/>
      <c r="D62" s="76"/>
      <c r="E62" s="78"/>
      <c r="F62" s="439"/>
      <c r="G62" s="102"/>
      <c r="H62" s="102"/>
      <c r="I62" s="102"/>
    </row>
    <row r="63" spans="1:9" s="38" customFormat="1" ht="15">
      <c r="A63" s="332"/>
      <c r="B63" s="336" t="s">
        <v>206</v>
      </c>
      <c r="C63" s="76"/>
      <c r="D63" s="76"/>
      <c r="E63" s="78"/>
      <c r="F63" s="439"/>
      <c r="G63" s="102"/>
      <c r="H63" s="102"/>
      <c r="I63" s="102"/>
    </row>
    <row r="64" spans="1:9" s="38" customFormat="1" ht="15">
      <c r="A64" s="76">
        <v>1</v>
      </c>
      <c r="B64" s="442" t="s">
        <v>352</v>
      </c>
      <c r="C64" s="76" t="s">
        <v>1</v>
      </c>
      <c r="D64" s="76">
        <v>1</v>
      </c>
      <c r="E64" s="78">
        <v>1000</v>
      </c>
      <c r="F64" s="439">
        <v>1</v>
      </c>
      <c r="G64" s="78">
        <v>7622.4</v>
      </c>
      <c r="H64" s="78">
        <f>F64-D64</f>
        <v>0</v>
      </c>
      <c r="I64" s="78">
        <f>G64-E64</f>
        <v>6622.4</v>
      </c>
    </row>
    <row r="65" spans="1:9" s="199" customFormat="1" ht="30.75" customHeight="1">
      <c r="A65" s="316" t="s">
        <v>173</v>
      </c>
      <c r="B65" s="317" t="s">
        <v>353</v>
      </c>
      <c r="C65" s="317">
        <v>4252</v>
      </c>
      <c r="D65" s="317"/>
      <c r="E65" s="318">
        <f>SUM(E68:E69)</f>
        <v>1900</v>
      </c>
      <c r="F65" s="441"/>
      <c r="G65" s="318">
        <f>SUM(G68:G69)</f>
        <v>1995</v>
      </c>
      <c r="H65" s="318">
        <f>F65-D65</f>
        <v>0</v>
      </c>
      <c r="I65" s="318">
        <f>G65-E65</f>
        <v>95</v>
      </c>
    </row>
    <row r="66" spans="1:9" s="38" customFormat="1" ht="15">
      <c r="A66" s="200"/>
      <c r="B66" s="319" t="s">
        <v>108</v>
      </c>
      <c r="C66" s="76"/>
      <c r="D66" s="76"/>
      <c r="E66" s="78"/>
      <c r="F66" s="439"/>
      <c r="G66" s="102"/>
      <c r="H66" s="102"/>
      <c r="I66" s="102"/>
    </row>
    <row r="67" spans="1:9" s="38" customFormat="1" ht="15">
      <c r="A67" s="332"/>
      <c r="B67" s="336" t="s">
        <v>206</v>
      </c>
      <c r="C67" s="76"/>
      <c r="D67" s="76"/>
      <c r="E67" s="78"/>
      <c r="F67" s="439"/>
      <c r="G67" s="102"/>
      <c r="H67" s="102"/>
      <c r="I67" s="102"/>
    </row>
    <row r="68" spans="1:9" s="38" customFormat="1" ht="15">
      <c r="A68" s="76">
        <v>1</v>
      </c>
      <c r="B68" s="442" t="s">
        <v>354</v>
      </c>
      <c r="C68" s="76" t="s">
        <v>1</v>
      </c>
      <c r="D68" s="76">
        <v>1</v>
      </c>
      <c r="E68" s="78">
        <v>950</v>
      </c>
      <c r="F68" s="439">
        <v>1</v>
      </c>
      <c r="G68" s="78">
        <v>1000</v>
      </c>
      <c r="H68" s="78">
        <f aca="true" t="shared" si="5" ref="H68:I70">F68-D68</f>
        <v>0</v>
      </c>
      <c r="I68" s="78">
        <f t="shared" si="5"/>
        <v>50</v>
      </c>
    </row>
    <row r="69" spans="1:9" s="38" customFormat="1" ht="15">
      <c r="A69" s="76">
        <v>2</v>
      </c>
      <c r="B69" s="442" t="s">
        <v>355</v>
      </c>
      <c r="C69" s="76" t="s">
        <v>1</v>
      </c>
      <c r="D69" s="76">
        <v>1</v>
      </c>
      <c r="E69" s="78">
        <v>950</v>
      </c>
      <c r="F69" s="439">
        <v>1</v>
      </c>
      <c r="G69" s="78">
        <v>995</v>
      </c>
      <c r="H69" s="78">
        <f t="shared" si="5"/>
        <v>0</v>
      </c>
      <c r="I69" s="78">
        <f t="shared" si="5"/>
        <v>45</v>
      </c>
    </row>
    <row r="70" spans="1:9" s="199" customFormat="1" ht="23.25" customHeight="1">
      <c r="A70" s="316" t="s">
        <v>173</v>
      </c>
      <c r="B70" s="316" t="s">
        <v>356</v>
      </c>
      <c r="C70" s="317">
        <v>4261</v>
      </c>
      <c r="D70" s="317"/>
      <c r="E70" s="318">
        <f>SUM(E73:E89)</f>
        <v>1999.4</v>
      </c>
      <c r="F70" s="318"/>
      <c r="G70" s="318">
        <f>SUM(G73:G89)</f>
        <v>2346.6</v>
      </c>
      <c r="H70" s="318">
        <f t="shared" si="5"/>
        <v>0</v>
      </c>
      <c r="I70" s="318">
        <f t="shared" si="5"/>
        <v>347.1999999999998</v>
      </c>
    </row>
    <row r="71" spans="1:9" s="38" customFormat="1" ht="15">
      <c r="A71" s="200"/>
      <c r="B71" s="319" t="s">
        <v>108</v>
      </c>
      <c r="C71" s="76"/>
      <c r="D71" s="76"/>
      <c r="E71" s="78"/>
      <c r="F71" s="78"/>
      <c r="G71" s="102"/>
      <c r="H71" s="102"/>
      <c r="I71" s="102"/>
    </row>
    <row r="72" spans="1:9" s="38" customFormat="1" ht="15">
      <c r="A72" s="332"/>
      <c r="B72" s="336" t="s">
        <v>206</v>
      </c>
      <c r="C72" s="76"/>
      <c r="D72" s="76"/>
      <c r="E72" s="78"/>
      <c r="F72" s="78"/>
      <c r="G72" s="102"/>
      <c r="H72" s="102"/>
      <c r="I72" s="102"/>
    </row>
    <row r="73" spans="1:9" s="38" customFormat="1" ht="15">
      <c r="A73" s="332">
        <v>1</v>
      </c>
      <c r="B73" s="444" t="s">
        <v>357</v>
      </c>
      <c r="C73" s="76" t="s">
        <v>1</v>
      </c>
      <c r="D73" s="76">
        <v>20</v>
      </c>
      <c r="E73" s="78">
        <v>7</v>
      </c>
      <c r="F73" s="439">
        <v>20</v>
      </c>
      <c r="G73" s="78">
        <v>7</v>
      </c>
      <c r="H73" s="78">
        <f>F73-D73</f>
        <v>0</v>
      </c>
      <c r="I73" s="78">
        <f>G73-E73</f>
        <v>0</v>
      </c>
    </row>
    <row r="74" spans="1:9" s="38" customFormat="1" ht="15">
      <c r="A74" s="332">
        <v>2</v>
      </c>
      <c r="B74" s="444" t="s">
        <v>358</v>
      </c>
      <c r="C74" s="76" t="s">
        <v>1</v>
      </c>
      <c r="D74" s="76">
        <v>10</v>
      </c>
      <c r="E74" s="78">
        <v>35</v>
      </c>
      <c r="F74" s="439">
        <v>10</v>
      </c>
      <c r="G74" s="78">
        <v>35</v>
      </c>
      <c r="H74" s="78">
        <f aca="true" t="shared" si="6" ref="H74:I89">F74-D74</f>
        <v>0</v>
      </c>
      <c r="I74" s="78">
        <f t="shared" si="6"/>
        <v>0</v>
      </c>
    </row>
    <row r="75" spans="1:9" s="38" customFormat="1" ht="15">
      <c r="A75" s="332">
        <v>3</v>
      </c>
      <c r="B75" s="444" t="s">
        <v>359</v>
      </c>
      <c r="C75" s="76" t="s">
        <v>1</v>
      </c>
      <c r="D75" s="76">
        <v>50</v>
      </c>
      <c r="E75" s="78">
        <v>10</v>
      </c>
      <c r="F75" s="439">
        <v>50</v>
      </c>
      <c r="G75" s="78">
        <v>10</v>
      </c>
      <c r="H75" s="78">
        <f t="shared" si="6"/>
        <v>0</v>
      </c>
      <c r="I75" s="78">
        <f t="shared" si="6"/>
        <v>0</v>
      </c>
    </row>
    <row r="76" spans="1:9" s="38" customFormat="1" ht="15">
      <c r="A76" s="332">
        <v>4</v>
      </c>
      <c r="B76" s="444" t="s">
        <v>360</v>
      </c>
      <c r="C76" s="76" t="s">
        <v>1</v>
      </c>
      <c r="D76" s="76">
        <v>170</v>
      </c>
      <c r="E76" s="78">
        <v>1.7</v>
      </c>
      <c r="F76" s="439">
        <v>170</v>
      </c>
      <c r="G76" s="78">
        <v>2.6</v>
      </c>
      <c r="H76" s="78">
        <f t="shared" si="6"/>
        <v>0</v>
      </c>
      <c r="I76" s="78">
        <f>G76-E76</f>
        <v>0.9000000000000001</v>
      </c>
    </row>
    <row r="77" spans="1:9" s="38" customFormat="1" ht="15">
      <c r="A77" s="332">
        <v>5</v>
      </c>
      <c r="B77" s="444" t="s">
        <v>360</v>
      </c>
      <c r="C77" s="76" t="s">
        <v>1</v>
      </c>
      <c r="D77" s="76">
        <v>76</v>
      </c>
      <c r="E77" s="78">
        <v>60.8</v>
      </c>
      <c r="F77" s="439">
        <v>76</v>
      </c>
      <c r="G77" s="78">
        <v>76</v>
      </c>
      <c r="H77" s="78">
        <f t="shared" si="6"/>
        <v>0</v>
      </c>
      <c r="I77" s="78">
        <f t="shared" si="6"/>
        <v>15.200000000000003</v>
      </c>
    </row>
    <row r="78" spans="1:9" s="38" customFormat="1" ht="15">
      <c r="A78" s="76">
        <v>6</v>
      </c>
      <c r="B78" s="442" t="s">
        <v>361</v>
      </c>
      <c r="C78" s="76" t="s">
        <v>1</v>
      </c>
      <c r="D78" s="76">
        <v>10</v>
      </c>
      <c r="E78" s="78">
        <v>8</v>
      </c>
      <c r="F78" s="439">
        <v>10</v>
      </c>
      <c r="G78" s="78">
        <v>8</v>
      </c>
      <c r="H78" s="78">
        <f t="shared" si="6"/>
        <v>0</v>
      </c>
      <c r="I78" s="78">
        <f>G78-E78</f>
        <v>0</v>
      </c>
    </row>
    <row r="79" spans="1:9" s="38" customFormat="1" ht="15">
      <c r="A79" s="76">
        <v>7</v>
      </c>
      <c r="B79" s="443" t="s">
        <v>362</v>
      </c>
      <c r="C79" s="76" t="s">
        <v>1</v>
      </c>
      <c r="D79" s="76">
        <v>10</v>
      </c>
      <c r="E79" s="78">
        <v>120</v>
      </c>
      <c r="F79" s="439">
        <v>10</v>
      </c>
      <c r="G79" s="78">
        <v>180</v>
      </c>
      <c r="H79" s="78">
        <f>F79-D79</f>
        <v>0</v>
      </c>
      <c r="I79" s="78">
        <f t="shared" si="6"/>
        <v>60</v>
      </c>
    </row>
    <row r="80" spans="1:9" s="38" customFormat="1" ht="15">
      <c r="A80" s="76">
        <v>8</v>
      </c>
      <c r="B80" s="443" t="s">
        <v>362</v>
      </c>
      <c r="C80" s="76" t="s">
        <v>1</v>
      </c>
      <c r="D80" s="76"/>
      <c r="E80" s="78"/>
      <c r="F80" s="439">
        <v>6</v>
      </c>
      <c r="G80" s="78">
        <v>30</v>
      </c>
      <c r="H80" s="78">
        <f>F80-D80</f>
        <v>6</v>
      </c>
      <c r="I80" s="78">
        <f>G80-E80</f>
        <v>30</v>
      </c>
    </row>
    <row r="81" spans="1:9" s="38" customFormat="1" ht="15">
      <c r="A81" s="76">
        <v>8</v>
      </c>
      <c r="B81" s="443" t="s">
        <v>362</v>
      </c>
      <c r="C81" s="76" t="s">
        <v>1</v>
      </c>
      <c r="D81" s="76">
        <v>2</v>
      </c>
      <c r="E81" s="78">
        <v>66</v>
      </c>
      <c r="F81" s="439">
        <v>2</v>
      </c>
      <c r="G81" s="78">
        <v>66</v>
      </c>
      <c r="H81" s="78">
        <f>F81-D81</f>
        <v>0</v>
      </c>
      <c r="I81" s="78">
        <f t="shared" si="6"/>
        <v>0</v>
      </c>
    </row>
    <row r="82" spans="1:9" s="38" customFormat="1" ht="15">
      <c r="A82" s="76">
        <v>9</v>
      </c>
      <c r="B82" s="443" t="s">
        <v>362</v>
      </c>
      <c r="C82" s="76" t="s">
        <v>1</v>
      </c>
      <c r="D82" s="76">
        <v>10</v>
      </c>
      <c r="E82" s="78">
        <v>50</v>
      </c>
      <c r="F82" s="439">
        <v>10</v>
      </c>
      <c r="G82" s="78">
        <v>50</v>
      </c>
      <c r="H82" s="78">
        <f t="shared" si="6"/>
        <v>0</v>
      </c>
      <c r="I82" s="78">
        <f t="shared" si="6"/>
        <v>0</v>
      </c>
    </row>
    <row r="83" spans="1:9" s="38" customFormat="1" ht="15">
      <c r="A83" s="76">
        <v>10</v>
      </c>
      <c r="B83" s="443" t="s">
        <v>362</v>
      </c>
      <c r="C83" s="76" t="s">
        <v>1</v>
      </c>
      <c r="D83" s="76">
        <v>10</v>
      </c>
      <c r="E83" s="78">
        <v>40</v>
      </c>
      <c r="F83" s="439">
        <v>10</v>
      </c>
      <c r="G83" s="78">
        <v>50</v>
      </c>
      <c r="H83" s="78">
        <f t="shared" si="6"/>
        <v>0</v>
      </c>
      <c r="I83" s="78">
        <f>G83-E83</f>
        <v>10</v>
      </c>
    </row>
    <row r="84" spans="1:9" s="38" customFormat="1" ht="15">
      <c r="A84" s="76">
        <v>11</v>
      </c>
      <c r="B84" s="443" t="s">
        <v>363</v>
      </c>
      <c r="C84" s="76" t="s">
        <v>1</v>
      </c>
      <c r="D84" s="76">
        <v>10</v>
      </c>
      <c r="E84" s="78">
        <v>80</v>
      </c>
      <c r="F84" s="439">
        <v>10</v>
      </c>
      <c r="G84" s="78">
        <v>80</v>
      </c>
      <c r="H84" s="78">
        <f t="shared" si="6"/>
        <v>0</v>
      </c>
      <c r="I84" s="78">
        <f t="shared" si="6"/>
        <v>0</v>
      </c>
    </row>
    <row r="85" spans="1:9" s="38" customFormat="1" ht="15">
      <c r="A85" s="76">
        <v>12</v>
      </c>
      <c r="B85" s="443" t="s">
        <v>364</v>
      </c>
      <c r="C85" s="76"/>
      <c r="D85" s="76">
        <v>9</v>
      </c>
      <c r="E85" s="78">
        <v>999.9</v>
      </c>
      <c r="F85" s="439">
        <v>14</v>
      </c>
      <c r="G85" s="78">
        <v>900</v>
      </c>
      <c r="H85" s="78">
        <f t="shared" si="6"/>
        <v>5</v>
      </c>
      <c r="I85" s="78">
        <f t="shared" si="6"/>
        <v>-99.89999999999998</v>
      </c>
    </row>
    <row r="86" spans="1:9" s="38" customFormat="1" ht="15">
      <c r="A86" s="76">
        <v>13</v>
      </c>
      <c r="B86" s="442" t="s">
        <v>365</v>
      </c>
      <c r="C86" s="76" t="s">
        <v>1</v>
      </c>
      <c r="D86" s="76">
        <v>800</v>
      </c>
      <c r="E86" s="78">
        <v>480</v>
      </c>
      <c r="F86" s="439">
        <v>1067</v>
      </c>
      <c r="G86" s="78">
        <v>800</v>
      </c>
      <c r="H86" s="78">
        <f t="shared" si="6"/>
        <v>267</v>
      </c>
      <c r="I86" s="78">
        <f>G86-E86</f>
        <v>320</v>
      </c>
    </row>
    <row r="87" spans="1:9" s="38" customFormat="1" ht="15">
      <c r="A87" s="76">
        <v>14</v>
      </c>
      <c r="B87" s="443" t="s">
        <v>366</v>
      </c>
      <c r="C87" s="76" t="s">
        <v>1</v>
      </c>
      <c r="D87" s="76">
        <v>200</v>
      </c>
      <c r="E87" s="78">
        <v>5</v>
      </c>
      <c r="F87" s="439">
        <v>200</v>
      </c>
      <c r="G87" s="78">
        <v>7</v>
      </c>
      <c r="H87" s="78">
        <f t="shared" si="6"/>
        <v>0</v>
      </c>
      <c r="I87" s="78">
        <f>G87-E87</f>
        <v>2</v>
      </c>
    </row>
    <row r="88" spans="1:9" s="38" customFormat="1" ht="15">
      <c r="A88" s="76">
        <v>15</v>
      </c>
      <c r="B88" s="442" t="s">
        <v>367</v>
      </c>
      <c r="C88" s="76" t="s">
        <v>1</v>
      </c>
      <c r="D88" s="76">
        <v>200</v>
      </c>
      <c r="E88" s="78">
        <v>24</v>
      </c>
      <c r="F88" s="439">
        <v>200</v>
      </c>
      <c r="G88" s="78">
        <v>24</v>
      </c>
      <c r="H88" s="78">
        <f t="shared" si="6"/>
        <v>0</v>
      </c>
      <c r="I88" s="78">
        <f t="shared" si="6"/>
        <v>0</v>
      </c>
    </row>
    <row r="89" spans="1:9" s="38" customFormat="1" ht="15">
      <c r="A89" s="76">
        <v>16</v>
      </c>
      <c r="B89" s="443" t="s">
        <v>368</v>
      </c>
      <c r="C89" s="76" t="s">
        <v>1</v>
      </c>
      <c r="D89" s="76">
        <v>30</v>
      </c>
      <c r="E89" s="78">
        <v>12</v>
      </c>
      <c r="F89" s="439">
        <v>30</v>
      </c>
      <c r="G89" s="78">
        <v>21</v>
      </c>
      <c r="H89" s="78">
        <f t="shared" si="6"/>
        <v>0</v>
      </c>
      <c r="I89" s="78">
        <f t="shared" si="6"/>
        <v>9</v>
      </c>
    </row>
    <row r="90" spans="1:9" s="38" customFormat="1" ht="15">
      <c r="A90" s="76"/>
      <c r="B90" s="443"/>
      <c r="C90" s="76"/>
      <c r="D90" s="76"/>
      <c r="E90" s="78"/>
      <c r="F90" s="439"/>
      <c r="G90" s="78"/>
      <c r="H90" s="78"/>
      <c r="I90" s="78"/>
    </row>
    <row r="91" spans="1:9" s="199" customFormat="1" ht="23.25" customHeight="1">
      <c r="A91" s="316" t="s">
        <v>173</v>
      </c>
      <c r="B91" s="316" t="s">
        <v>369</v>
      </c>
      <c r="C91" s="317">
        <v>4264</v>
      </c>
      <c r="D91" s="317"/>
      <c r="E91" s="318">
        <f>SUM(E94:E99)</f>
        <v>14470</v>
      </c>
      <c r="F91" s="318"/>
      <c r="G91" s="318">
        <f>SUM(G94:G99)</f>
        <v>19732.6</v>
      </c>
      <c r="H91" s="318">
        <f>F91-D91</f>
        <v>0</v>
      </c>
      <c r="I91" s="318">
        <f>G91-E91</f>
        <v>5262.5999999999985</v>
      </c>
    </row>
    <row r="92" spans="1:9" s="38" customFormat="1" ht="15">
      <c r="A92" s="200"/>
      <c r="B92" s="319" t="s">
        <v>108</v>
      </c>
      <c r="C92" s="76"/>
      <c r="D92" s="76"/>
      <c r="E92" s="78"/>
      <c r="F92" s="78"/>
      <c r="G92" s="102"/>
      <c r="H92" s="102"/>
      <c r="I92" s="102"/>
    </row>
    <row r="93" spans="1:9" s="38" customFormat="1" ht="15">
      <c r="A93" s="332"/>
      <c r="B93" s="336" t="s">
        <v>206</v>
      </c>
      <c r="C93" s="76"/>
      <c r="D93" s="76"/>
      <c r="E93" s="78"/>
      <c r="F93" s="78"/>
      <c r="G93" s="102"/>
      <c r="H93" s="102"/>
      <c r="I93" s="102"/>
    </row>
    <row r="94" spans="1:9" s="38" customFormat="1" ht="15">
      <c r="A94" s="76">
        <v>1</v>
      </c>
      <c r="B94" s="442" t="s">
        <v>370</v>
      </c>
      <c r="C94" s="76" t="s">
        <v>1</v>
      </c>
      <c r="D94" s="76">
        <v>24497</v>
      </c>
      <c r="E94" s="78">
        <v>13228.4</v>
      </c>
      <c r="F94" s="439">
        <v>34000</v>
      </c>
      <c r="G94" s="445">
        <v>18360</v>
      </c>
      <c r="H94" s="78">
        <f aca="true" t="shared" si="7" ref="H94:I100">F94-D94</f>
        <v>9503</v>
      </c>
      <c r="I94" s="78">
        <f t="shared" si="7"/>
        <v>5131.6</v>
      </c>
    </row>
    <row r="95" spans="1:9" s="38" customFormat="1" ht="15">
      <c r="A95" s="76">
        <v>2</v>
      </c>
      <c r="B95" s="443" t="s">
        <v>371</v>
      </c>
      <c r="C95" s="76" t="s">
        <v>1</v>
      </c>
      <c r="D95" s="76"/>
      <c r="E95" s="78"/>
      <c r="F95" s="439">
        <v>3000</v>
      </c>
      <c r="G95" s="78">
        <v>225</v>
      </c>
      <c r="H95" s="78">
        <f t="shared" si="7"/>
        <v>3000</v>
      </c>
      <c r="I95" s="78">
        <f t="shared" si="7"/>
        <v>225</v>
      </c>
    </row>
    <row r="96" spans="1:9" s="38" customFormat="1" ht="15">
      <c r="A96" s="76">
        <v>3</v>
      </c>
      <c r="B96" s="443" t="s">
        <v>372</v>
      </c>
      <c r="C96" s="76" t="s">
        <v>1</v>
      </c>
      <c r="D96" s="76">
        <v>25</v>
      </c>
      <c r="E96" s="78">
        <v>97.5</v>
      </c>
      <c r="F96" s="439">
        <v>25</v>
      </c>
      <c r="G96" s="78">
        <v>97.5</v>
      </c>
      <c r="H96" s="78">
        <f t="shared" si="7"/>
        <v>0</v>
      </c>
      <c r="I96" s="78">
        <f t="shared" si="7"/>
        <v>0</v>
      </c>
    </row>
    <row r="97" spans="1:9" s="38" customFormat="1" ht="15">
      <c r="A97" s="76">
        <v>4</v>
      </c>
      <c r="B97" s="443" t="s">
        <v>373</v>
      </c>
      <c r="C97" s="76" t="s">
        <v>1</v>
      </c>
      <c r="D97" s="76">
        <v>20</v>
      </c>
      <c r="E97" s="78">
        <v>70</v>
      </c>
      <c r="F97" s="439">
        <v>5</v>
      </c>
      <c r="G97" s="78">
        <v>30</v>
      </c>
      <c r="H97" s="78">
        <f t="shared" si="7"/>
        <v>-15</v>
      </c>
      <c r="I97" s="78">
        <f t="shared" si="7"/>
        <v>-40</v>
      </c>
    </row>
    <row r="98" spans="1:9" s="38" customFormat="1" ht="15">
      <c r="A98" s="76">
        <v>4</v>
      </c>
      <c r="B98" s="443" t="s">
        <v>373</v>
      </c>
      <c r="C98" s="76" t="s">
        <v>1</v>
      </c>
      <c r="D98" s="76">
        <v>30</v>
      </c>
      <c r="E98" s="78">
        <v>84</v>
      </c>
      <c r="F98" s="439">
        <v>5</v>
      </c>
      <c r="G98" s="78">
        <v>30</v>
      </c>
      <c r="H98" s="78">
        <f>F98-D98</f>
        <v>-25</v>
      </c>
      <c r="I98" s="78">
        <f>G98-E98</f>
        <v>-54</v>
      </c>
    </row>
    <row r="99" spans="1:9" s="38" customFormat="1" ht="15">
      <c r="A99" s="76">
        <v>5</v>
      </c>
      <c r="B99" s="442" t="s">
        <v>374</v>
      </c>
      <c r="C99" s="76" t="s">
        <v>1</v>
      </c>
      <c r="D99" s="76">
        <v>1</v>
      </c>
      <c r="E99" s="78">
        <v>990.1</v>
      </c>
      <c r="F99" s="439">
        <v>1</v>
      </c>
      <c r="G99" s="78">
        <v>990.1</v>
      </c>
      <c r="H99" s="78">
        <f t="shared" si="7"/>
        <v>0</v>
      </c>
      <c r="I99" s="78">
        <f t="shared" si="7"/>
        <v>0</v>
      </c>
    </row>
    <row r="100" spans="1:9" s="199" customFormat="1" ht="23.25" customHeight="1">
      <c r="A100" s="316" t="s">
        <v>173</v>
      </c>
      <c r="B100" s="316" t="s">
        <v>375</v>
      </c>
      <c r="C100" s="317">
        <v>4267</v>
      </c>
      <c r="D100" s="317"/>
      <c r="E100" s="318">
        <f>SUM(E103:E114)</f>
        <v>998.5</v>
      </c>
      <c r="F100" s="318"/>
      <c r="G100" s="318">
        <f>SUM(G103:G114)</f>
        <v>1516.5</v>
      </c>
      <c r="H100" s="318">
        <f t="shared" si="7"/>
        <v>0</v>
      </c>
      <c r="I100" s="318">
        <f t="shared" si="7"/>
        <v>518</v>
      </c>
    </row>
    <row r="101" spans="1:9" s="38" customFormat="1" ht="15">
      <c r="A101" s="200"/>
      <c r="B101" s="319" t="s">
        <v>108</v>
      </c>
      <c r="C101" s="76"/>
      <c r="D101" s="76"/>
      <c r="E101" s="78"/>
      <c r="F101" s="78"/>
      <c r="G101" s="102"/>
      <c r="H101" s="102"/>
      <c r="I101" s="102"/>
    </row>
    <row r="102" spans="1:9" s="38" customFormat="1" ht="15">
      <c r="A102" s="332"/>
      <c r="B102" s="336" t="s">
        <v>206</v>
      </c>
      <c r="C102" s="76"/>
      <c r="D102" s="76"/>
      <c r="E102" s="78"/>
      <c r="F102" s="78"/>
      <c r="G102" s="102"/>
      <c r="H102" s="102"/>
      <c r="I102" s="102"/>
    </row>
    <row r="103" spans="1:9" s="38" customFormat="1" ht="15">
      <c r="A103" s="76">
        <v>1</v>
      </c>
      <c r="B103" s="442" t="s">
        <v>376</v>
      </c>
      <c r="C103" s="76" t="s">
        <v>1</v>
      </c>
      <c r="D103" s="76">
        <v>70</v>
      </c>
      <c r="E103" s="78">
        <v>98</v>
      </c>
      <c r="F103" s="439">
        <v>388</v>
      </c>
      <c r="G103" s="78">
        <v>310</v>
      </c>
      <c r="H103" s="78">
        <f>F103-D103</f>
        <v>318</v>
      </c>
      <c r="I103" s="78">
        <f aca="true" t="shared" si="8" ref="I103:I115">G103-E103</f>
        <v>212</v>
      </c>
    </row>
    <row r="104" spans="1:9" s="38" customFormat="1" ht="15">
      <c r="A104" s="76">
        <v>2</v>
      </c>
      <c r="B104" s="443" t="s">
        <v>377</v>
      </c>
      <c r="C104" s="76" t="s">
        <v>1</v>
      </c>
      <c r="D104" s="76">
        <v>2000</v>
      </c>
      <c r="E104" s="78">
        <v>240</v>
      </c>
      <c r="F104" s="439">
        <v>2500</v>
      </c>
      <c r="G104" s="78">
        <v>300</v>
      </c>
      <c r="H104" s="78">
        <f aca="true" t="shared" si="9" ref="H104:H113">F104-D104</f>
        <v>500</v>
      </c>
      <c r="I104" s="78">
        <f t="shared" si="8"/>
        <v>60</v>
      </c>
    </row>
    <row r="105" spans="1:9" s="38" customFormat="1" ht="15">
      <c r="A105" s="76">
        <v>3</v>
      </c>
      <c r="B105" s="443" t="s">
        <v>378</v>
      </c>
      <c r="C105" s="76" t="s">
        <v>1</v>
      </c>
      <c r="D105" s="76">
        <v>50</v>
      </c>
      <c r="E105" s="78">
        <v>45</v>
      </c>
      <c r="F105" s="439">
        <v>50</v>
      </c>
      <c r="G105" s="78">
        <v>45</v>
      </c>
      <c r="H105" s="78">
        <f t="shared" si="9"/>
        <v>0</v>
      </c>
      <c r="I105" s="78">
        <f t="shared" si="8"/>
        <v>0</v>
      </c>
    </row>
    <row r="106" spans="1:9" s="38" customFormat="1" ht="15">
      <c r="A106" s="76">
        <v>4</v>
      </c>
      <c r="B106" s="443" t="s">
        <v>379</v>
      </c>
      <c r="C106" s="76" t="s">
        <v>1</v>
      </c>
      <c r="D106" s="76">
        <v>100</v>
      </c>
      <c r="E106" s="78">
        <v>30</v>
      </c>
      <c r="F106" s="439">
        <v>50</v>
      </c>
      <c r="G106" s="78">
        <v>20</v>
      </c>
      <c r="H106" s="78">
        <f t="shared" si="9"/>
        <v>-50</v>
      </c>
      <c r="I106" s="78">
        <f t="shared" si="8"/>
        <v>-10</v>
      </c>
    </row>
    <row r="107" spans="1:9" s="38" customFormat="1" ht="15">
      <c r="A107" s="76">
        <v>5</v>
      </c>
      <c r="B107" s="443" t="s">
        <v>380</v>
      </c>
      <c r="C107" s="76" t="s">
        <v>1</v>
      </c>
      <c r="D107" s="76">
        <v>30</v>
      </c>
      <c r="E107" s="78">
        <v>15</v>
      </c>
      <c r="F107" s="439">
        <v>30</v>
      </c>
      <c r="G107" s="78">
        <v>18</v>
      </c>
      <c r="H107" s="78">
        <f>F107-D107</f>
        <v>0</v>
      </c>
      <c r="I107" s="78">
        <f t="shared" si="8"/>
        <v>3</v>
      </c>
    </row>
    <row r="108" spans="1:9" s="38" customFormat="1" ht="15">
      <c r="A108" s="76">
        <v>6</v>
      </c>
      <c r="B108" s="443" t="s">
        <v>381</v>
      </c>
      <c r="C108" s="76" t="s">
        <v>1</v>
      </c>
      <c r="D108" s="76">
        <v>1022</v>
      </c>
      <c r="E108" s="78">
        <v>511</v>
      </c>
      <c r="F108" s="439">
        <v>1200</v>
      </c>
      <c r="G108" s="78">
        <v>660</v>
      </c>
      <c r="H108" s="78">
        <f t="shared" si="9"/>
        <v>178</v>
      </c>
      <c r="I108" s="78">
        <f t="shared" si="8"/>
        <v>149</v>
      </c>
    </row>
    <row r="109" spans="1:9" s="38" customFormat="1" ht="15">
      <c r="A109" s="76">
        <v>7</v>
      </c>
      <c r="B109" s="443" t="s">
        <v>382</v>
      </c>
      <c r="C109" s="76" t="s">
        <v>1</v>
      </c>
      <c r="D109" s="76">
        <v>50</v>
      </c>
      <c r="E109" s="78">
        <v>15</v>
      </c>
      <c r="F109" s="439">
        <v>10</v>
      </c>
      <c r="G109" s="78">
        <v>17.5</v>
      </c>
      <c r="H109" s="78">
        <f t="shared" si="9"/>
        <v>-40</v>
      </c>
      <c r="I109" s="78">
        <f t="shared" si="8"/>
        <v>2.5</v>
      </c>
    </row>
    <row r="110" spans="1:9" s="38" customFormat="1" ht="15">
      <c r="A110" s="76">
        <v>8</v>
      </c>
      <c r="B110" s="443" t="s">
        <v>383</v>
      </c>
      <c r="C110" s="76" t="s">
        <v>1</v>
      </c>
      <c r="D110" s="76">
        <v>10</v>
      </c>
      <c r="E110" s="78">
        <v>8</v>
      </c>
      <c r="F110" s="439">
        <v>10</v>
      </c>
      <c r="G110" s="78">
        <v>10</v>
      </c>
      <c r="H110" s="78">
        <f>F110-D110</f>
        <v>0</v>
      </c>
      <c r="I110" s="78">
        <f t="shared" si="8"/>
        <v>2</v>
      </c>
    </row>
    <row r="111" spans="1:9" s="38" customFormat="1" ht="15">
      <c r="A111" s="76">
        <v>9</v>
      </c>
      <c r="B111" s="443" t="s">
        <v>384</v>
      </c>
      <c r="C111" s="76" t="s">
        <v>1</v>
      </c>
      <c r="D111" s="76">
        <v>15</v>
      </c>
      <c r="E111" s="78">
        <v>22.5</v>
      </c>
      <c r="F111" s="439">
        <v>15</v>
      </c>
      <c r="G111" s="78">
        <v>27</v>
      </c>
      <c r="H111" s="78">
        <f t="shared" si="9"/>
        <v>0</v>
      </c>
      <c r="I111" s="78">
        <f t="shared" si="8"/>
        <v>4.5</v>
      </c>
    </row>
    <row r="112" spans="1:9" s="38" customFormat="1" ht="15">
      <c r="A112" s="76">
        <v>10</v>
      </c>
      <c r="B112" s="443" t="s">
        <v>385</v>
      </c>
      <c r="C112" s="76" t="s">
        <v>1</v>
      </c>
      <c r="D112" s="76">
        <v>20</v>
      </c>
      <c r="E112" s="78">
        <v>14</v>
      </c>
      <c r="F112" s="439">
        <v>50</v>
      </c>
      <c r="G112" s="78">
        <v>35</v>
      </c>
      <c r="H112" s="78">
        <f t="shared" si="9"/>
        <v>30</v>
      </c>
      <c r="I112" s="78">
        <f t="shared" si="8"/>
        <v>21</v>
      </c>
    </row>
    <row r="113" spans="1:9" s="38" customFormat="1" ht="15">
      <c r="A113" s="76">
        <v>9</v>
      </c>
      <c r="B113" s="443" t="s">
        <v>386</v>
      </c>
      <c r="C113" s="76" t="s">
        <v>1</v>
      </c>
      <c r="D113" s="76"/>
      <c r="E113" s="78"/>
      <c r="F113" s="439">
        <v>40</v>
      </c>
      <c r="G113" s="78">
        <v>26</v>
      </c>
      <c r="H113" s="78">
        <f t="shared" si="9"/>
        <v>40</v>
      </c>
      <c r="I113" s="78">
        <f t="shared" si="8"/>
        <v>26</v>
      </c>
    </row>
    <row r="114" spans="1:9" s="38" customFormat="1" ht="15">
      <c r="A114" s="76">
        <v>10</v>
      </c>
      <c r="B114" s="443" t="s">
        <v>386</v>
      </c>
      <c r="C114" s="76" t="s">
        <v>1</v>
      </c>
      <c r="D114" s="76"/>
      <c r="E114" s="78"/>
      <c r="F114" s="439">
        <v>40</v>
      </c>
      <c r="G114" s="78">
        <v>48</v>
      </c>
      <c r="H114" s="78">
        <f>F114-D114</f>
        <v>40</v>
      </c>
      <c r="I114" s="78">
        <f t="shared" si="8"/>
        <v>48</v>
      </c>
    </row>
    <row r="115" spans="1:9" s="199" customFormat="1" ht="23.25" customHeight="1">
      <c r="A115" s="316" t="s">
        <v>173</v>
      </c>
      <c r="B115" s="316" t="s">
        <v>387</v>
      </c>
      <c r="C115" s="317">
        <v>5122</v>
      </c>
      <c r="D115" s="317"/>
      <c r="E115" s="318">
        <f>SUM(E118:E129)</f>
        <v>0</v>
      </c>
      <c r="F115" s="318"/>
      <c r="G115" s="318">
        <f>SUM(G118:G129)</f>
        <v>15814.7</v>
      </c>
      <c r="H115" s="318">
        <f>F115-D115</f>
        <v>0</v>
      </c>
      <c r="I115" s="318">
        <f t="shared" si="8"/>
        <v>15814.7</v>
      </c>
    </row>
    <row r="116" spans="1:9" s="38" customFormat="1" ht="15">
      <c r="A116" s="200"/>
      <c r="B116" s="319" t="s">
        <v>108</v>
      </c>
      <c r="C116" s="76"/>
      <c r="D116" s="76"/>
      <c r="E116" s="78"/>
      <c r="F116" s="78"/>
      <c r="G116" s="102"/>
      <c r="H116" s="102"/>
      <c r="I116" s="102"/>
    </row>
    <row r="117" spans="1:9" s="38" customFormat="1" ht="45" customHeight="1">
      <c r="A117" s="332"/>
      <c r="B117" s="336" t="s">
        <v>206</v>
      </c>
      <c r="C117" s="76"/>
      <c r="D117" s="76"/>
      <c r="E117" s="78"/>
      <c r="F117" s="78"/>
      <c r="G117" s="102"/>
      <c r="H117" s="102"/>
      <c r="I117" s="102"/>
    </row>
    <row r="118" spans="1:9" s="38" customFormat="1" ht="15">
      <c r="A118" s="76">
        <v>1</v>
      </c>
      <c r="B118" s="442" t="s">
        <v>683</v>
      </c>
      <c r="C118" s="76" t="s">
        <v>1</v>
      </c>
      <c r="D118" s="76"/>
      <c r="E118" s="78"/>
      <c r="F118" s="439">
        <v>40</v>
      </c>
      <c r="G118" s="78">
        <v>8120</v>
      </c>
      <c r="H118" s="78">
        <f aca="true" t="shared" si="10" ref="H118:I121">F118-D118</f>
        <v>40</v>
      </c>
      <c r="I118" s="78">
        <f t="shared" si="10"/>
        <v>8120</v>
      </c>
    </row>
    <row r="119" spans="1:9" s="38" customFormat="1" ht="15">
      <c r="A119" s="76">
        <v>2</v>
      </c>
      <c r="B119" s="443" t="s">
        <v>684</v>
      </c>
      <c r="C119" s="76" t="s">
        <v>1</v>
      </c>
      <c r="D119" s="76"/>
      <c r="E119" s="78"/>
      <c r="F119" s="439">
        <v>40</v>
      </c>
      <c r="G119" s="78">
        <v>3040</v>
      </c>
      <c r="H119" s="78">
        <f t="shared" si="10"/>
        <v>40</v>
      </c>
      <c r="I119" s="78">
        <f t="shared" si="10"/>
        <v>3040</v>
      </c>
    </row>
    <row r="120" spans="1:9" s="38" customFormat="1" ht="15">
      <c r="A120" s="76">
        <v>3</v>
      </c>
      <c r="B120" s="443" t="s">
        <v>433</v>
      </c>
      <c r="C120" s="76" t="s">
        <v>1</v>
      </c>
      <c r="D120" s="76"/>
      <c r="E120" s="78"/>
      <c r="F120" s="439">
        <v>40</v>
      </c>
      <c r="G120" s="78">
        <v>1476</v>
      </c>
      <c r="H120" s="78">
        <f t="shared" si="10"/>
        <v>40</v>
      </c>
      <c r="I120" s="78">
        <f t="shared" si="10"/>
        <v>1476</v>
      </c>
    </row>
    <row r="121" spans="1:9" s="38" customFormat="1" ht="15">
      <c r="A121" s="76">
        <v>4</v>
      </c>
      <c r="B121" s="443" t="s">
        <v>685</v>
      </c>
      <c r="C121" s="76" t="s">
        <v>1</v>
      </c>
      <c r="D121" s="76"/>
      <c r="E121" s="78"/>
      <c r="F121" s="439">
        <v>10</v>
      </c>
      <c r="G121" s="78">
        <v>1320</v>
      </c>
      <c r="H121" s="78">
        <f t="shared" si="10"/>
        <v>10</v>
      </c>
      <c r="I121" s="78">
        <f t="shared" si="10"/>
        <v>1320</v>
      </c>
    </row>
    <row r="122" spans="1:9" s="38" customFormat="1" ht="15">
      <c r="A122" s="76">
        <v>5</v>
      </c>
      <c r="B122" s="442" t="s">
        <v>686</v>
      </c>
      <c r="C122" s="76" t="s">
        <v>1</v>
      </c>
      <c r="D122" s="76"/>
      <c r="E122" s="78"/>
      <c r="F122" s="439">
        <v>15</v>
      </c>
      <c r="G122" s="78">
        <v>1062</v>
      </c>
      <c r="H122" s="78">
        <f aca="true" t="shared" si="11" ref="H122:I129">F122-D122</f>
        <v>15</v>
      </c>
      <c r="I122" s="78">
        <f t="shared" si="11"/>
        <v>1062</v>
      </c>
    </row>
    <row r="123" spans="1:9" s="38" customFormat="1" ht="15">
      <c r="A123" s="76">
        <v>6</v>
      </c>
      <c r="B123" s="443" t="s">
        <v>687</v>
      </c>
      <c r="C123" s="76" t="s">
        <v>1</v>
      </c>
      <c r="D123" s="76"/>
      <c r="E123" s="78"/>
      <c r="F123" s="439">
        <v>2</v>
      </c>
      <c r="G123" s="78">
        <v>230</v>
      </c>
      <c r="H123" s="78">
        <f t="shared" si="11"/>
        <v>2</v>
      </c>
      <c r="I123" s="78">
        <f t="shared" si="11"/>
        <v>230</v>
      </c>
    </row>
    <row r="124" spans="1:9" s="38" customFormat="1" ht="15">
      <c r="A124" s="76">
        <v>7</v>
      </c>
      <c r="B124" s="443" t="s">
        <v>688</v>
      </c>
      <c r="C124" s="76" t="s">
        <v>1</v>
      </c>
      <c r="D124" s="76"/>
      <c r="E124" s="78"/>
      <c r="F124" s="439">
        <v>1</v>
      </c>
      <c r="G124" s="78">
        <v>279</v>
      </c>
      <c r="H124" s="78">
        <f t="shared" si="11"/>
        <v>1</v>
      </c>
      <c r="I124" s="78">
        <f t="shared" si="11"/>
        <v>279</v>
      </c>
    </row>
    <row r="125" spans="1:9" s="38" customFormat="1" ht="15">
      <c r="A125" s="76">
        <v>8</v>
      </c>
      <c r="B125" s="443" t="s">
        <v>689</v>
      </c>
      <c r="C125" s="76" t="s">
        <v>1</v>
      </c>
      <c r="D125" s="76"/>
      <c r="E125" s="78"/>
      <c r="F125" s="439">
        <v>1</v>
      </c>
      <c r="G125" s="78">
        <v>38.7</v>
      </c>
      <c r="H125" s="78">
        <f t="shared" si="11"/>
        <v>1</v>
      </c>
      <c r="I125" s="78">
        <f t="shared" si="11"/>
        <v>38.7</v>
      </c>
    </row>
    <row r="126" spans="1:9" s="38" customFormat="1" ht="15">
      <c r="A126" s="76">
        <v>9</v>
      </c>
      <c r="B126" s="442" t="s">
        <v>690</v>
      </c>
      <c r="C126" s="76" t="s">
        <v>1</v>
      </c>
      <c r="D126" s="76"/>
      <c r="E126" s="78"/>
      <c r="F126" s="439">
        <v>3</v>
      </c>
      <c r="G126" s="78">
        <v>69</v>
      </c>
      <c r="H126" s="78">
        <f t="shared" si="11"/>
        <v>3</v>
      </c>
      <c r="I126" s="78">
        <f t="shared" si="11"/>
        <v>69</v>
      </c>
    </row>
    <row r="127" spans="1:9" s="38" customFormat="1" ht="15">
      <c r="A127" s="76">
        <v>6</v>
      </c>
      <c r="B127" s="443" t="s">
        <v>691</v>
      </c>
      <c r="C127" s="76" t="s">
        <v>1</v>
      </c>
      <c r="D127" s="76"/>
      <c r="E127" s="78"/>
      <c r="F127" s="439">
        <v>1</v>
      </c>
      <c r="G127" s="78">
        <v>30</v>
      </c>
      <c r="H127" s="78">
        <f t="shared" si="11"/>
        <v>1</v>
      </c>
      <c r="I127" s="78">
        <f t="shared" si="11"/>
        <v>30</v>
      </c>
    </row>
    <row r="128" spans="1:9" s="38" customFormat="1" ht="15">
      <c r="A128" s="76">
        <v>7</v>
      </c>
      <c r="B128" s="443" t="s">
        <v>691</v>
      </c>
      <c r="C128" s="76" t="s">
        <v>1</v>
      </c>
      <c r="D128" s="76"/>
      <c r="E128" s="78"/>
      <c r="F128" s="439">
        <v>10</v>
      </c>
      <c r="G128" s="78">
        <v>100</v>
      </c>
      <c r="H128" s="78">
        <f t="shared" si="11"/>
        <v>10</v>
      </c>
      <c r="I128" s="78">
        <f t="shared" si="11"/>
        <v>100</v>
      </c>
    </row>
    <row r="129" spans="1:9" s="38" customFormat="1" ht="15">
      <c r="A129" s="76">
        <v>8</v>
      </c>
      <c r="B129" s="443" t="s">
        <v>692</v>
      </c>
      <c r="C129" s="76" t="s">
        <v>1</v>
      </c>
      <c r="D129" s="76"/>
      <c r="E129" s="78"/>
      <c r="F129" s="439">
        <v>5</v>
      </c>
      <c r="G129" s="78">
        <v>50</v>
      </c>
      <c r="H129" s="78">
        <f t="shared" si="11"/>
        <v>5</v>
      </c>
      <c r="I129" s="78">
        <f t="shared" si="11"/>
        <v>50</v>
      </c>
    </row>
  </sheetData>
  <sheetProtection/>
  <mergeCells count="4">
    <mergeCell ref="G2:I2"/>
    <mergeCell ref="D7:E7"/>
    <mergeCell ref="F7:G7"/>
    <mergeCell ref="H7:I7"/>
  </mergeCells>
  <printOptions/>
  <pageMargins left="0.75" right="0.25" top="0.23" bottom="0.29" header="0.21" footer="0.19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E25">
      <selection activeCell="N29" sqref="N29"/>
    </sheetView>
  </sheetViews>
  <sheetFormatPr defaultColWidth="9.140625" defaultRowHeight="12.75"/>
  <cols>
    <col min="1" max="1" width="4.28125" style="4" customWidth="1"/>
    <col min="2" max="2" width="31.7109375" style="95" customWidth="1"/>
    <col min="3" max="3" width="6.7109375" style="87" customWidth="1"/>
    <col min="4" max="4" width="16.140625" style="87" customWidth="1"/>
    <col min="5" max="5" width="20.00390625" style="87" customWidth="1"/>
    <col min="6" max="6" width="9.8515625" style="87" customWidth="1"/>
    <col min="7" max="7" width="18.28125" style="87" customWidth="1"/>
    <col min="8" max="8" width="14.421875" style="87" customWidth="1"/>
    <col min="9" max="9" width="8.28125" style="4" customWidth="1"/>
    <col min="10" max="10" width="10.28125" style="37" customWidth="1"/>
    <col min="11" max="11" width="19.28125" style="5" customWidth="1"/>
    <col min="12" max="12" width="18.57421875" style="5" customWidth="1"/>
    <col min="13" max="13" width="12.57421875" style="4" customWidth="1"/>
    <col min="14" max="14" width="12.140625" style="4" customWidth="1"/>
    <col min="15" max="15" width="11.57421875" style="4" customWidth="1"/>
    <col min="16" max="16" width="12.00390625" style="4" customWidth="1"/>
    <col min="17" max="16384" width="9.140625" style="5" customWidth="1"/>
  </cols>
  <sheetData>
    <row r="1" spans="1:15" s="31" customFormat="1" ht="15">
      <c r="A1" s="241"/>
      <c r="B1" s="231"/>
      <c r="C1" s="223"/>
      <c r="D1" s="223"/>
      <c r="E1" s="223"/>
      <c r="F1" s="223"/>
      <c r="G1" s="21"/>
      <c r="I1" s="9"/>
      <c r="J1" s="9"/>
      <c r="K1" s="30"/>
      <c r="L1" s="30"/>
      <c r="O1" s="23" t="s">
        <v>205</v>
      </c>
    </row>
    <row r="2" spans="1:16" s="251" customFormat="1" ht="18">
      <c r="A2" s="249"/>
      <c r="B2" s="1"/>
      <c r="C2" s="2"/>
      <c r="D2" s="2"/>
      <c r="E2" s="2"/>
      <c r="F2" s="3"/>
      <c r="G2" s="3"/>
      <c r="H2" s="3"/>
      <c r="I2" s="250"/>
      <c r="J2" s="259"/>
      <c r="O2" s="481" t="s">
        <v>9</v>
      </c>
      <c r="P2" s="481"/>
    </row>
    <row r="3" spans="1:11" s="251" customFormat="1" ht="18" thickBot="1">
      <c r="A3" s="31"/>
      <c r="B3" s="22" t="s">
        <v>10</v>
      </c>
      <c r="C3" s="258"/>
      <c r="D3" s="7"/>
      <c r="E3" s="7"/>
      <c r="F3" s="7"/>
      <c r="G3" s="8"/>
      <c r="H3" s="8"/>
      <c r="I3" s="260"/>
      <c r="J3" s="261"/>
      <c r="K3" s="262"/>
    </row>
    <row r="4" spans="1:16" s="46" customFormat="1" ht="15">
      <c r="A4" s="39"/>
      <c r="B4" s="108" t="s">
        <v>59</v>
      </c>
      <c r="C4" s="40"/>
      <c r="D4" s="40"/>
      <c r="E4" s="40"/>
      <c r="F4" s="40"/>
      <c r="G4" s="40"/>
      <c r="H4" s="40"/>
      <c r="I4" s="41"/>
      <c r="J4" s="42"/>
      <c r="K4" s="41"/>
      <c r="L4" s="41"/>
      <c r="M4" s="39"/>
      <c r="N4" s="43"/>
      <c r="O4" s="39"/>
      <c r="P4" s="39"/>
    </row>
    <row r="5" spans="1:16" s="46" customFormat="1" ht="15">
      <c r="A5" s="39"/>
      <c r="B5" s="108" t="s">
        <v>256</v>
      </c>
      <c r="C5" s="40"/>
      <c r="D5" s="40"/>
      <c r="E5" s="40"/>
      <c r="F5" s="40"/>
      <c r="G5" s="40"/>
      <c r="H5" s="40"/>
      <c r="I5" s="41"/>
      <c r="J5" s="42"/>
      <c r="K5" s="41"/>
      <c r="L5" s="41"/>
      <c r="M5" s="39"/>
      <c r="N5" s="39"/>
      <c r="O5" s="39"/>
      <c r="P5" s="39"/>
    </row>
    <row r="6" spans="1:16" s="15" customFormat="1" ht="10.5">
      <c r="A6" s="39"/>
      <c r="B6" s="44"/>
      <c r="C6" s="44"/>
      <c r="D6" s="44"/>
      <c r="E6" s="44"/>
      <c r="F6" s="44"/>
      <c r="G6" s="44"/>
      <c r="H6" s="44"/>
      <c r="I6" s="39"/>
      <c r="J6" s="45"/>
      <c r="K6" s="46"/>
      <c r="L6" s="46"/>
      <c r="M6" s="39"/>
      <c r="N6" s="39"/>
      <c r="O6" s="39"/>
      <c r="P6" s="39"/>
    </row>
    <row r="7" spans="1:16" s="15" customFormat="1" ht="15">
      <c r="A7" s="47"/>
      <c r="B7" s="48"/>
      <c r="C7" s="49"/>
      <c r="D7" s="50" t="s">
        <v>60</v>
      </c>
      <c r="E7" s="51"/>
      <c r="F7" s="51"/>
      <c r="G7" s="51"/>
      <c r="H7" s="52"/>
      <c r="I7" s="53" t="s">
        <v>61</v>
      </c>
      <c r="J7" s="54"/>
      <c r="K7" s="55"/>
      <c r="L7" s="55"/>
      <c r="M7" s="55"/>
      <c r="N7" s="56"/>
      <c r="O7" s="47"/>
      <c r="P7" s="47"/>
    </row>
    <row r="8" spans="1:16" ht="76.5">
      <c r="A8" s="57"/>
      <c r="B8" s="58"/>
      <c r="C8" s="59"/>
      <c r="D8" s="60" t="s">
        <v>62</v>
      </c>
      <c r="E8" s="60"/>
      <c r="F8" s="60" t="s">
        <v>63</v>
      </c>
      <c r="G8" s="60"/>
      <c r="H8" s="60" t="s">
        <v>64</v>
      </c>
      <c r="I8" s="486" t="s">
        <v>67</v>
      </c>
      <c r="J8" s="487"/>
      <c r="K8" s="61" t="s">
        <v>171</v>
      </c>
      <c r="L8" s="61" t="s">
        <v>170</v>
      </c>
      <c r="M8" s="61" t="s">
        <v>70</v>
      </c>
      <c r="N8" s="61" t="s">
        <v>71</v>
      </c>
      <c r="O8" s="62" t="s">
        <v>72</v>
      </c>
      <c r="P8" s="63" t="s">
        <v>73</v>
      </c>
    </row>
    <row r="9" spans="1:16" s="67" customFormat="1" ht="33">
      <c r="A9" s="64" t="s">
        <v>95</v>
      </c>
      <c r="B9" s="65" t="s">
        <v>74</v>
      </c>
      <c r="C9" s="64"/>
      <c r="D9" s="14" t="s">
        <v>65</v>
      </c>
      <c r="E9" s="14" t="s">
        <v>199</v>
      </c>
      <c r="F9" s="14" t="s">
        <v>65</v>
      </c>
      <c r="G9" s="14" t="s">
        <v>199</v>
      </c>
      <c r="H9" s="14" t="s">
        <v>66</v>
      </c>
      <c r="I9" s="14" t="s">
        <v>68</v>
      </c>
      <c r="J9" s="66" t="s">
        <v>69</v>
      </c>
      <c r="K9" s="14" t="s">
        <v>66</v>
      </c>
      <c r="L9" s="14" t="s">
        <v>66</v>
      </c>
      <c r="M9" s="14" t="s">
        <v>66</v>
      </c>
      <c r="N9" s="14" t="s">
        <v>66</v>
      </c>
      <c r="O9" s="14" t="s">
        <v>66</v>
      </c>
      <c r="P9" s="14" t="s">
        <v>66</v>
      </c>
    </row>
    <row r="10" spans="1:16" ht="15">
      <c r="A10" s="68">
        <v>1</v>
      </c>
      <c r="B10" s="24">
        <v>2</v>
      </c>
      <c r="C10" s="12">
        <v>3</v>
      </c>
      <c r="D10" s="12">
        <v>4</v>
      </c>
      <c r="E10" s="13">
        <v>5</v>
      </c>
      <c r="F10" s="13">
        <v>6</v>
      </c>
      <c r="G10" s="13">
        <v>7</v>
      </c>
      <c r="H10" s="13">
        <v>8</v>
      </c>
      <c r="I10" s="68">
        <v>9</v>
      </c>
      <c r="J10" s="69"/>
      <c r="K10" s="12">
        <v>11</v>
      </c>
      <c r="L10" s="12">
        <v>12</v>
      </c>
      <c r="M10" s="68">
        <v>13</v>
      </c>
      <c r="N10" s="68">
        <v>14</v>
      </c>
      <c r="O10" s="68">
        <v>15</v>
      </c>
      <c r="P10" s="68">
        <v>16</v>
      </c>
    </row>
    <row r="11" spans="1:16" ht="53.25">
      <c r="A11" s="68"/>
      <c r="B11" s="278" t="s">
        <v>174</v>
      </c>
      <c r="C11" s="12"/>
      <c r="D11" s="68" t="s">
        <v>1</v>
      </c>
      <c r="E11" s="266"/>
      <c r="F11" s="68" t="s">
        <v>1</v>
      </c>
      <c r="G11" s="266"/>
      <c r="H11" s="68" t="s">
        <v>1</v>
      </c>
      <c r="I11" s="68" t="s">
        <v>1</v>
      </c>
      <c r="J11" s="69" t="s">
        <v>1</v>
      </c>
      <c r="K11" s="68" t="s">
        <v>1</v>
      </c>
      <c r="L11" s="68" t="s">
        <v>1</v>
      </c>
      <c r="M11" s="68" t="s">
        <v>1</v>
      </c>
      <c r="N11" s="68" t="s">
        <v>1</v>
      </c>
      <c r="O11" s="68" t="s">
        <v>1</v>
      </c>
      <c r="P11" s="68" t="s">
        <v>1</v>
      </c>
    </row>
    <row r="12" spans="1:16" ht="27">
      <c r="A12" s="68">
        <v>1</v>
      </c>
      <c r="B12" s="71" t="s">
        <v>75</v>
      </c>
      <c r="C12" s="264"/>
      <c r="D12" s="68" t="s">
        <v>1</v>
      </c>
      <c r="E12" s="68" t="s">
        <v>1</v>
      </c>
      <c r="F12" s="68" t="s">
        <v>1</v>
      </c>
      <c r="G12" s="68" t="s">
        <v>1</v>
      </c>
      <c r="H12" s="68" t="s">
        <v>1</v>
      </c>
      <c r="I12" s="68" t="s">
        <v>1</v>
      </c>
      <c r="J12" s="69" t="s">
        <v>1</v>
      </c>
      <c r="K12" s="68" t="s">
        <v>1</v>
      </c>
      <c r="L12" s="68" t="s">
        <v>1</v>
      </c>
      <c r="M12" s="68" t="s">
        <v>1</v>
      </c>
      <c r="N12" s="68" t="s">
        <v>1</v>
      </c>
      <c r="O12" s="72">
        <v>200000</v>
      </c>
      <c r="P12" s="72">
        <f>O12</f>
        <v>200000</v>
      </c>
    </row>
    <row r="13" spans="1:16" s="267" customFormat="1" ht="15">
      <c r="A13" s="271">
        <v>2</v>
      </c>
      <c r="B13" s="279" t="s">
        <v>76</v>
      </c>
      <c r="C13" s="280">
        <v>1</v>
      </c>
      <c r="D13" s="268"/>
      <c r="E13" s="282">
        <f>D13*12*$E$11</f>
        <v>0</v>
      </c>
      <c r="F13" s="282"/>
      <c r="G13" s="282">
        <f>F13*12*$G$11</f>
        <v>0</v>
      </c>
      <c r="H13" s="282">
        <f>E13+G13</f>
        <v>0</v>
      </c>
      <c r="I13" s="270"/>
      <c r="J13" s="281">
        <f aca="true" t="shared" si="0" ref="J13:J28">(I13-360)*4.17</f>
        <v>-1501.2</v>
      </c>
      <c r="K13" s="269"/>
      <c r="L13" s="269"/>
      <c r="M13" s="269">
        <f aca="true" t="shared" si="1" ref="M13:M28">J13+K13+L13</f>
        <v>-1501.2</v>
      </c>
      <c r="N13" s="269">
        <f>M13*C13*12</f>
        <v>-18014.4</v>
      </c>
      <c r="O13" s="269" t="s">
        <v>1</v>
      </c>
      <c r="P13" s="269">
        <f>H13+N13</f>
        <v>-18014.4</v>
      </c>
    </row>
    <row r="14" spans="1:16" ht="15">
      <c r="A14" s="68">
        <v>3</v>
      </c>
      <c r="B14" s="71" t="s">
        <v>77</v>
      </c>
      <c r="C14" s="12">
        <v>8</v>
      </c>
      <c r="D14" s="12"/>
      <c r="E14" s="265">
        <f>D14*12*$E$11</f>
        <v>0</v>
      </c>
      <c r="F14" s="12"/>
      <c r="G14" s="265">
        <f>F14*12*$G$11</f>
        <v>0</v>
      </c>
      <c r="H14" s="73">
        <f>E14+G14</f>
        <v>0</v>
      </c>
      <c r="I14" s="68">
        <v>4000</v>
      </c>
      <c r="J14" s="75">
        <f t="shared" si="0"/>
        <v>15178.8</v>
      </c>
      <c r="K14" s="72">
        <v>15000</v>
      </c>
      <c r="L14" s="72">
        <v>10000</v>
      </c>
      <c r="M14" s="72">
        <f t="shared" si="1"/>
        <v>40178.8</v>
      </c>
      <c r="N14" s="72">
        <f aca="true" t="shared" si="2" ref="N14:N28">M14*C14*12</f>
        <v>3857164.8000000003</v>
      </c>
      <c r="O14" s="72" t="s">
        <v>1</v>
      </c>
      <c r="P14" s="72">
        <f>H14+N14</f>
        <v>3857164.8000000003</v>
      </c>
    </row>
    <row r="15" spans="1:16" ht="15">
      <c r="A15" s="68">
        <v>4</v>
      </c>
      <c r="B15" s="71" t="s">
        <v>78</v>
      </c>
      <c r="C15" s="12">
        <v>3</v>
      </c>
      <c r="D15" s="12" t="s">
        <v>1</v>
      </c>
      <c r="E15" s="12" t="s">
        <v>1</v>
      </c>
      <c r="F15" s="12" t="s">
        <v>1</v>
      </c>
      <c r="G15" s="12" t="s">
        <v>1</v>
      </c>
      <c r="H15" s="12" t="s">
        <v>1</v>
      </c>
      <c r="I15" s="68">
        <v>2000</v>
      </c>
      <c r="J15" s="75">
        <f t="shared" si="0"/>
        <v>6838.8</v>
      </c>
      <c r="K15" s="72">
        <v>5000</v>
      </c>
      <c r="L15" s="72"/>
      <c r="M15" s="72">
        <f t="shared" si="1"/>
        <v>11838.8</v>
      </c>
      <c r="N15" s="72">
        <f t="shared" si="2"/>
        <v>426196.79999999993</v>
      </c>
      <c r="O15" s="72" t="s">
        <v>1</v>
      </c>
      <c r="P15" s="72">
        <f>N15</f>
        <v>426196.79999999993</v>
      </c>
    </row>
    <row r="16" spans="1:16" ht="15">
      <c r="A16" s="68">
        <v>5</v>
      </c>
      <c r="B16" s="71" t="s">
        <v>79</v>
      </c>
      <c r="C16" s="12">
        <v>3</v>
      </c>
      <c r="D16" s="12" t="s">
        <v>1</v>
      </c>
      <c r="E16" s="12" t="s">
        <v>1</v>
      </c>
      <c r="F16" s="12" t="s">
        <v>1</v>
      </c>
      <c r="G16" s="12" t="s">
        <v>1</v>
      </c>
      <c r="H16" s="12" t="s">
        <v>1</v>
      </c>
      <c r="I16" s="68">
        <v>2000</v>
      </c>
      <c r="J16" s="75">
        <f t="shared" si="0"/>
        <v>6838.8</v>
      </c>
      <c r="K16" s="72">
        <v>5000</v>
      </c>
      <c r="L16" s="72"/>
      <c r="M16" s="72">
        <f t="shared" si="1"/>
        <v>11838.8</v>
      </c>
      <c r="N16" s="72">
        <f t="shared" si="2"/>
        <v>426196.79999999993</v>
      </c>
      <c r="O16" s="72" t="s">
        <v>1</v>
      </c>
      <c r="P16" s="72">
        <f>N16</f>
        <v>426196.79999999993</v>
      </c>
    </row>
    <row r="17" spans="1:16" ht="15">
      <c r="A17" s="68">
        <v>6</v>
      </c>
      <c r="B17" s="71" t="s">
        <v>80</v>
      </c>
      <c r="C17" s="12">
        <v>1</v>
      </c>
      <c r="D17" s="12" t="s">
        <v>1</v>
      </c>
      <c r="E17" s="12" t="s">
        <v>1</v>
      </c>
      <c r="F17" s="12" t="s">
        <v>1</v>
      </c>
      <c r="G17" s="12" t="s">
        <v>1</v>
      </c>
      <c r="H17" s="12" t="s">
        <v>1</v>
      </c>
      <c r="I17" s="68">
        <v>5000</v>
      </c>
      <c r="J17" s="75">
        <f t="shared" si="0"/>
        <v>19348.8</v>
      </c>
      <c r="K17" s="72">
        <v>10000</v>
      </c>
      <c r="L17" s="72"/>
      <c r="M17" s="72">
        <f t="shared" si="1"/>
        <v>29348.8</v>
      </c>
      <c r="N17" s="72">
        <f t="shared" si="2"/>
        <v>352185.6</v>
      </c>
      <c r="O17" s="72" t="s">
        <v>1</v>
      </c>
      <c r="P17" s="72">
        <f>N17</f>
        <v>352185.6</v>
      </c>
    </row>
    <row r="18" spans="1:16" ht="15">
      <c r="A18" s="68">
        <v>7</v>
      </c>
      <c r="B18" s="71" t="s">
        <v>81</v>
      </c>
      <c r="C18" s="12">
        <v>1</v>
      </c>
      <c r="D18" s="12"/>
      <c r="E18" s="265">
        <f>D18*12*$E$11</f>
        <v>0</v>
      </c>
      <c r="F18" s="12"/>
      <c r="G18" s="265">
        <f>F18*12*$G$11</f>
        <v>0</v>
      </c>
      <c r="H18" s="73">
        <f>E18+G18</f>
        <v>0</v>
      </c>
      <c r="I18" s="68">
        <v>4000</v>
      </c>
      <c r="J18" s="75">
        <f t="shared" si="0"/>
        <v>15178.8</v>
      </c>
      <c r="K18" s="72">
        <v>15000</v>
      </c>
      <c r="L18" s="72">
        <v>10000</v>
      </c>
      <c r="M18" s="72">
        <f t="shared" si="1"/>
        <v>40178.8</v>
      </c>
      <c r="N18" s="72">
        <f t="shared" si="2"/>
        <v>482145.60000000003</v>
      </c>
      <c r="O18" s="72" t="s">
        <v>1</v>
      </c>
      <c r="P18" s="72">
        <f>H18+N18</f>
        <v>482145.60000000003</v>
      </c>
    </row>
    <row r="19" spans="1:16" ht="15">
      <c r="A19" s="68">
        <v>8</v>
      </c>
      <c r="B19" s="71" t="s">
        <v>82</v>
      </c>
      <c r="C19" s="12"/>
      <c r="D19" s="12" t="s">
        <v>1</v>
      </c>
      <c r="E19" s="12" t="s">
        <v>1</v>
      </c>
      <c r="F19" s="12" t="s">
        <v>1</v>
      </c>
      <c r="G19" s="12" t="s">
        <v>1</v>
      </c>
      <c r="H19" s="12" t="s">
        <v>1</v>
      </c>
      <c r="I19" s="68">
        <v>2000</v>
      </c>
      <c r="J19" s="75">
        <f t="shared" si="0"/>
        <v>6838.8</v>
      </c>
      <c r="K19" s="72">
        <v>5000</v>
      </c>
      <c r="L19" s="72"/>
      <c r="M19" s="72">
        <f t="shared" si="1"/>
        <v>11838.8</v>
      </c>
      <c r="N19" s="72">
        <f t="shared" si="2"/>
        <v>0</v>
      </c>
      <c r="O19" s="72" t="s">
        <v>1</v>
      </c>
      <c r="P19" s="72">
        <f>N19</f>
        <v>0</v>
      </c>
    </row>
    <row r="20" spans="1:16" ht="27">
      <c r="A20" s="68">
        <v>9</v>
      </c>
      <c r="B20" s="71" t="s">
        <v>83</v>
      </c>
      <c r="C20" s="12"/>
      <c r="D20" s="12"/>
      <c r="E20" s="265">
        <f>D20*12*$E$11</f>
        <v>0</v>
      </c>
      <c r="F20" s="12"/>
      <c r="G20" s="265">
        <f>F20*12*$G$11</f>
        <v>0</v>
      </c>
      <c r="H20" s="73">
        <f>E20+G20</f>
        <v>0</v>
      </c>
      <c r="I20" s="68">
        <v>4000</v>
      </c>
      <c r="J20" s="75">
        <f t="shared" si="0"/>
        <v>15178.8</v>
      </c>
      <c r="K20" s="72">
        <v>10000</v>
      </c>
      <c r="L20" s="72">
        <v>5000</v>
      </c>
      <c r="M20" s="72">
        <f t="shared" si="1"/>
        <v>30178.8</v>
      </c>
      <c r="N20" s="72">
        <f t="shared" si="2"/>
        <v>0</v>
      </c>
      <c r="O20" s="72" t="s">
        <v>1</v>
      </c>
      <c r="P20" s="72">
        <f>H20+N20</f>
        <v>0</v>
      </c>
    </row>
    <row r="21" spans="1:16" ht="39.75">
      <c r="A21" s="68">
        <v>10</v>
      </c>
      <c r="B21" s="71" t="s">
        <v>84</v>
      </c>
      <c r="C21" s="12"/>
      <c r="D21" s="12"/>
      <c r="E21" s="265">
        <f>D21*12*$E$11</f>
        <v>0</v>
      </c>
      <c r="F21" s="12"/>
      <c r="G21" s="265">
        <f>F21*12*$G$11</f>
        <v>0</v>
      </c>
      <c r="H21" s="73">
        <f>E21+G21</f>
        <v>0</v>
      </c>
      <c r="I21" s="68">
        <v>3000</v>
      </c>
      <c r="J21" s="75">
        <f t="shared" si="0"/>
        <v>11008.8</v>
      </c>
      <c r="K21" s="72">
        <v>8000</v>
      </c>
      <c r="L21" s="72">
        <v>4000</v>
      </c>
      <c r="M21" s="72">
        <f>J21+K21+L21</f>
        <v>23008.8</v>
      </c>
      <c r="N21" s="72">
        <f t="shared" si="2"/>
        <v>0</v>
      </c>
      <c r="O21" s="72" t="s">
        <v>1</v>
      </c>
      <c r="P21" s="72">
        <f>H21+N21</f>
        <v>0</v>
      </c>
    </row>
    <row r="22" spans="1:16" ht="27">
      <c r="A22" s="68">
        <v>11</v>
      </c>
      <c r="B22" s="71" t="s">
        <v>85</v>
      </c>
      <c r="C22" s="12">
        <v>12</v>
      </c>
      <c r="D22" s="12" t="s">
        <v>1</v>
      </c>
      <c r="E22" s="12" t="s">
        <v>1</v>
      </c>
      <c r="F22" s="12" t="s">
        <v>1</v>
      </c>
      <c r="G22" s="12" t="s">
        <v>1</v>
      </c>
      <c r="H22" s="12" t="s">
        <v>1</v>
      </c>
      <c r="I22" s="68">
        <v>4000</v>
      </c>
      <c r="J22" s="75">
        <f t="shared" si="0"/>
        <v>15178.8</v>
      </c>
      <c r="K22" s="72">
        <v>5000</v>
      </c>
      <c r="L22" s="72"/>
      <c r="M22" s="72">
        <f t="shared" si="1"/>
        <v>20178.8</v>
      </c>
      <c r="N22" s="72">
        <f t="shared" si="2"/>
        <v>2905747.1999999997</v>
      </c>
      <c r="O22" s="72" t="s">
        <v>1</v>
      </c>
      <c r="P22" s="72">
        <f aca="true" t="shared" si="3" ref="P22:P28">N22</f>
        <v>2905747.1999999997</v>
      </c>
    </row>
    <row r="23" spans="1:16" ht="39.75">
      <c r="A23" s="68">
        <v>12</v>
      </c>
      <c r="B23" s="71" t="s">
        <v>86</v>
      </c>
      <c r="C23" s="12"/>
      <c r="D23" s="12" t="s">
        <v>1</v>
      </c>
      <c r="E23" s="12" t="s">
        <v>1</v>
      </c>
      <c r="F23" s="12" t="s">
        <v>1</v>
      </c>
      <c r="G23" s="12" t="s">
        <v>1</v>
      </c>
      <c r="H23" s="12" t="s">
        <v>1</v>
      </c>
      <c r="I23" s="68">
        <v>3000</v>
      </c>
      <c r="J23" s="75">
        <f t="shared" si="0"/>
        <v>11008.8</v>
      </c>
      <c r="K23" s="72">
        <v>4000</v>
      </c>
      <c r="L23" s="72"/>
      <c r="M23" s="72">
        <f t="shared" si="1"/>
        <v>15008.8</v>
      </c>
      <c r="N23" s="72">
        <f t="shared" si="2"/>
        <v>0</v>
      </c>
      <c r="O23" s="72" t="s">
        <v>1</v>
      </c>
      <c r="P23" s="72">
        <f t="shared" si="3"/>
        <v>0</v>
      </c>
    </row>
    <row r="24" spans="1:16" ht="27">
      <c r="A24" s="68">
        <v>13</v>
      </c>
      <c r="B24" s="71" t="s">
        <v>87</v>
      </c>
      <c r="C24" s="283">
        <v>3</v>
      </c>
      <c r="D24" s="12" t="s">
        <v>1</v>
      </c>
      <c r="E24" s="12" t="s">
        <v>1</v>
      </c>
      <c r="F24" s="12" t="s">
        <v>1</v>
      </c>
      <c r="G24" s="12" t="s">
        <v>1</v>
      </c>
      <c r="H24" s="12" t="s">
        <v>1</v>
      </c>
      <c r="I24" s="68">
        <v>3000</v>
      </c>
      <c r="J24" s="75">
        <f t="shared" si="0"/>
        <v>11008.8</v>
      </c>
      <c r="K24" s="72">
        <v>5000</v>
      </c>
      <c r="L24" s="72"/>
      <c r="M24" s="72">
        <f t="shared" si="1"/>
        <v>16008.8</v>
      </c>
      <c r="N24" s="72">
        <f>M24*C24*12</f>
        <v>576316.7999999999</v>
      </c>
      <c r="O24" s="72" t="s">
        <v>1</v>
      </c>
      <c r="P24" s="72">
        <f t="shared" si="3"/>
        <v>576316.7999999999</v>
      </c>
    </row>
    <row r="25" spans="1:16" ht="27">
      <c r="A25" s="68">
        <v>14</v>
      </c>
      <c r="B25" s="71" t="s">
        <v>88</v>
      </c>
      <c r="C25" s="12">
        <v>1</v>
      </c>
      <c r="D25" s="12" t="s">
        <v>1</v>
      </c>
      <c r="E25" s="12" t="s">
        <v>1</v>
      </c>
      <c r="F25" s="12" t="s">
        <v>1</v>
      </c>
      <c r="G25" s="12" t="s">
        <v>1</v>
      </c>
      <c r="H25" s="12" t="s">
        <v>1</v>
      </c>
      <c r="I25" s="68">
        <v>5000</v>
      </c>
      <c r="J25" s="75">
        <f t="shared" si="0"/>
        <v>19348.8</v>
      </c>
      <c r="K25" s="72">
        <v>10000</v>
      </c>
      <c r="L25" s="72">
        <v>100000</v>
      </c>
      <c r="M25" s="72">
        <f>J25+K25+L25</f>
        <v>129348.8</v>
      </c>
      <c r="N25" s="72">
        <f>M25*C25*12</f>
        <v>1552185.6</v>
      </c>
      <c r="O25" s="72" t="s">
        <v>1</v>
      </c>
      <c r="P25" s="72">
        <f>N25</f>
        <v>1552185.6</v>
      </c>
    </row>
    <row r="26" spans="1:16" ht="27">
      <c r="A26" s="68">
        <v>15</v>
      </c>
      <c r="B26" s="71" t="s">
        <v>89</v>
      </c>
      <c r="C26" s="12">
        <v>2</v>
      </c>
      <c r="D26" s="12" t="s">
        <v>1</v>
      </c>
      <c r="E26" s="12" t="s">
        <v>1</v>
      </c>
      <c r="F26" s="12" t="s">
        <v>1</v>
      </c>
      <c r="G26" s="12" t="s">
        <v>1</v>
      </c>
      <c r="H26" s="12" t="s">
        <v>1</v>
      </c>
      <c r="I26" s="68">
        <v>5000</v>
      </c>
      <c r="J26" s="75">
        <f t="shared" si="0"/>
        <v>19348.8</v>
      </c>
      <c r="K26" s="72"/>
      <c r="L26" s="72"/>
      <c r="M26" s="72">
        <f t="shared" si="1"/>
        <v>19348.8</v>
      </c>
      <c r="N26" s="72">
        <f t="shared" si="2"/>
        <v>464371.19999999995</v>
      </c>
      <c r="O26" s="72" t="s">
        <v>1</v>
      </c>
      <c r="P26" s="72">
        <f t="shared" si="3"/>
        <v>464371.19999999995</v>
      </c>
    </row>
    <row r="27" spans="1:16" ht="15">
      <c r="A27" s="68">
        <v>16</v>
      </c>
      <c r="B27" s="71" t="s">
        <v>90</v>
      </c>
      <c r="C27" s="12"/>
      <c r="D27" s="12" t="s">
        <v>1</v>
      </c>
      <c r="E27" s="12" t="s">
        <v>1</v>
      </c>
      <c r="F27" s="12" t="s">
        <v>1</v>
      </c>
      <c r="G27" s="12" t="s">
        <v>1</v>
      </c>
      <c r="H27" s="12" t="s">
        <v>1</v>
      </c>
      <c r="I27" s="68">
        <v>3000</v>
      </c>
      <c r="J27" s="75">
        <f t="shared" si="0"/>
        <v>11008.8</v>
      </c>
      <c r="K27" s="72"/>
      <c r="L27" s="72"/>
      <c r="M27" s="72">
        <f t="shared" si="1"/>
        <v>11008.8</v>
      </c>
      <c r="N27" s="72">
        <f t="shared" si="2"/>
        <v>0</v>
      </c>
      <c r="O27" s="72" t="s">
        <v>1</v>
      </c>
      <c r="P27" s="72">
        <f t="shared" si="3"/>
        <v>0</v>
      </c>
    </row>
    <row r="28" spans="1:16" ht="15">
      <c r="A28" s="68">
        <v>17</v>
      </c>
      <c r="B28" s="71" t="s">
        <v>91</v>
      </c>
      <c r="C28" s="12"/>
      <c r="D28" s="76" t="s">
        <v>1</v>
      </c>
      <c r="E28" s="77" t="s">
        <v>1</v>
      </c>
      <c r="F28" s="76" t="s">
        <v>1</v>
      </c>
      <c r="G28" s="77" t="s">
        <v>1</v>
      </c>
      <c r="H28" s="77" t="s">
        <v>1</v>
      </c>
      <c r="I28" s="68">
        <v>10000</v>
      </c>
      <c r="J28" s="75">
        <f t="shared" si="0"/>
        <v>40198.8</v>
      </c>
      <c r="K28" s="72">
        <v>20000</v>
      </c>
      <c r="L28" s="72">
        <v>50000</v>
      </c>
      <c r="M28" s="72">
        <f t="shared" si="1"/>
        <v>110198.8</v>
      </c>
      <c r="N28" s="72">
        <f t="shared" si="2"/>
        <v>0</v>
      </c>
      <c r="O28" s="72" t="s">
        <v>1</v>
      </c>
      <c r="P28" s="72">
        <f t="shared" si="3"/>
        <v>0</v>
      </c>
    </row>
    <row r="29" spans="1:16" ht="27">
      <c r="A29" s="68"/>
      <c r="B29" s="71" t="s">
        <v>92</v>
      </c>
      <c r="C29" s="12">
        <v>36</v>
      </c>
      <c r="D29" s="76" t="s">
        <v>1</v>
      </c>
      <c r="E29" s="76" t="s">
        <v>1</v>
      </c>
      <c r="F29" s="76" t="s">
        <v>1</v>
      </c>
      <c r="G29" s="76" t="s">
        <v>1</v>
      </c>
      <c r="H29" s="76" t="s">
        <v>1</v>
      </c>
      <c r="I29" s="76" t="s">
        <v>1</v>
      </c>
      <c r="J29" s="69" t="s">
        <v>1</v>
      </c>
      <c r="K29" s="76" t="s">
        <v>1</v>
      </c>
      <c r="L29" s="76" t="s">
        <v>1</v>
      </c>
      <c r="M29" s="78" t="s">
        <v>1</v>
      </c>
      <c r="N29" s="78" t="s">
        <v>1</v>
      </c>
      <c r="O29" s="78" t="s">
        <v>1</v>
      </c>
      <c r="P29" s="78" t="s">
        <v>1</v>
      </c>
    </row>
    <row r="30" spans="1:16" ht="53.25">
      <c r="A30" s="68">
        <v>18</v>
      </c>
      <c r="B30" s="71" t="s">
        <v>93</v>
      </c>
      <c r="C30" s="79">
        <v>13</v>
      </c>
      <c r="D30" s="390">
        <f>+C30-F30</f>
        <v>13</v>
      </c>
      <c r="E30" s="265">
        <f>D30*12*$E$11</f>
        <v>0</v>
      </c>
      <c r="F30" s="390"/>
      <c r="G30" s="265">
        <f>F30*12*$G$11</f>
        <v>0</v>
      </c>
      <c r="H30" s="73">
        <f>E30+G30</f>
        <v>0</v>
      </c>
      <c r="I30" s="68" t="s">
        <v>1</v>
      </c>
      <c r="J30" s="69"/>
      <c r="K30" s="72" t="s">
        <v>1</v>
      </c>
      <c r="L30" s="72" t="s">
        <v>1</v>
      </c>
      <c r="M30" s="72" t="s">
        <v>1</v>
      </c>
      <c r="N30" s="72" t="s">
        <v>1</v>
      </c>
      <c r="O30" s="72" t="s">
        <v>1</v>
      </c>
      <c r="P30" s="72">
        <f>H30</f>
        <v>0</v>
      </c>
    </row>
    <row r="31" spans="1:16" s="85" customFormat="1" ht="30.75">
      <c r="A31" s="80"/>
      <c r="B31" s="313" t="s">
        <v>200</v>
      </c>
      <c r="C31" s="81"/>
      <c r="D31" s="82">
        <v>13</v>
      </c>
      <c r="E31" s="82"/>
      <c r="F31" s="82"/>
      <c r="G31" s="82"/>
      <c r="H31" s="82"/>
      <c r="I31" s="80"/>
      <c r="J31" s="83"/>
      <c r="K31" s="84"/>
      <c r="L31" s="84"/>
      <c r="M31" s="84"/>
      <c r="N31" s="84">
        <f>SUM(N13:N30)*1.2</f>
        <v>13229395.199999997</v>
      </c>
      <c r="O31" s="84"/>
      <c r="P31" s="84">
        <f>SUM(P12:P30)*1.2-N31+N31*0.3</f>
        <v>4208818.559999999</v>
      </c>
    </row>
    <row r="32" spans="1:16" ht="15">
      <c r="A32" s="68"/>
      <c r="B32" s="71"/>
      <c r="C32" s="12"/>
      <c r="D32" s="12"/>
      <c r="E32" s="73"/>
      <c r="F32" s="12"/>
      <c r="G32" s="13"/>
      <c r="H32" s="73"/>
      <c r="I32" s="68"/>
      <c r="J32" s="69"/>
      <c r="K32" s="72"/>
      <c r="L32" s="72"/>
      <c r="M32" s="72"/>
      <c r="N32" s="72"/>
      <c r="O32" s="72"/>
      <c r="P32" s="72"/>
    </row>
    <row r="33" spans="1:16" ht="15">
      <c r="A33" s="68">
        <v>19</v>
      </c>
      <c r="B33" s="312" t="s">
        <v>198</v>
      </c>
      <c r="C33" s="12" t="s">
        <v>1</v>
      </c>
      <c r="D33" s="12" t="s">
        <v>1</v>
      </c>
      <c r="E33" s="12" t="s">
        <v>1</v>
      </c>
      <c r="F33" s="12" t="s">
        <v>1</v>
      </c>
      <c r="G33" s="12" t="s">
        <v>1</v>
      </c>
      <c r="H33" s="12" t="s">
        <v>1</v>
      </c>
      <c r="I33" s="12" t="s">
        <v>1</v>
      </c>
      <c r="J33" s="70" t="s">
        <v>1</v>
      </c>
      <c r="K33" s="12" t="s">
        <v>1</v>
      </c>
      <c r="L33" s="12" t="s">
        <v>1</v>
      </c>
      <c r="M33" s="77" t="s">
        <v>1</v>
      </c>
      <c r="N33" s="77" t="s">
        <v>1</v>
      </c>
      <c r="O33" s="77" t="s">
        <v>1</v>
      </c>
      <c r="P33" s="72">
        <f>SUM(P34:P38)</f>
        <v>28100</v>
      </c>
    </row>
    <row r="34" spans="1:16" ht="15">
      <c r="A34" s="68">
        <v>1</v>
      </c>
      <c r="B34" s="86" t="s">
        <v>97</v>
      </c>
      <c r="C34" s="12" t="s">
        <v>1</v>
      </c>
      <c r="D34" s="12" t="s">
        <v>1</v>
      </c>
      <c r="E34" s="12" t="s">
        <v>1</v>
      </c>
      <c r="F34" s="12" t="s">
        <v>1</v>
      </c>
      <c r="G34" s="12" t="s">
        <v>1</v>
      </c>
      <c r="H34" s="12" t="s">
        <v>1</v>
      </c>
      <c r="I34" s="12" t="s">
        <v>1</v>
      </c>
      <c r="J34" s="70" t="s">
        <v>1</v>
      </c>
      <c r="K34" s="12" t="s">
        <v>1</v>
      </c>
      <c r="L34" s="12" t="s">
        <v>1</v>
      </c>
      <c r="M34" s="77" t="s">
        <v>1</v>
      </c>
      <c r="N34" s="77" t="s">
        <v>1</v>
      </c>
      <c r="O34" s="77" t="s">
        <v>1</v>
      </c>
      <c r="P34" s="72"/>
    </row>
    <row r="35" spans="1:16" ht="15">
      <c r="A35" s="68">
        <v>2</v>
      </c>
      <c r="B35" s="86" t="s">
        <v>311</v>
      </c>
      <c r="C35" s="12" t="s">
        <v>1</v>
      </c>
      <c r="D35" s="12" t="s">
        <v>1</v>
      </c>
      <c r="E35" s="12" t="s">
        <v>1</v>
      </c>
      <c r="F35" s="12" t="s">
        <v>1</v>
      </c>
      <c r="G35" s="12" t="s">
        <v>1</v>
      </c>
      <c r="H35" s="12" t="s">
        <v>1</v>
      </c>
      <c r="I35" s="12" t="s">
        <v>1</v>
      </c>
      <c r="J35" s="70" t="s">
        <v>1</v>
      </c>
      <c r="K35" s="12" t="s">
        <v>1</v>
      </c>
      <c r="L35" s="12" t="s">
        <v>1</v>
      </c>
      <c r="M35" s="77" t="s">
        <v>1</v>
      </c>
      <c r="N35" s="77" t="s">
        <v>1</v>
      </c>
      <c r="O35" s="77" t="s">
        <v>1</v>
      </c>
      <c r="P35" s="72"/>
    </row>
    <row r="36" spans="1:16" ht="15">
      <c r="A36" s="68">
        <v>3</v>
      </c>
      <c r="B36" s="86" t="s">
        <v>164</v>
      </c>
      <c r="C36" s="12" t="s">
        <v>1</v>
      </c>
      <c r="D36" s="12" t="s">
        <v>1</v>
      </c>
      <c r="E36" s="12" t="s">
        <v>1</v>
      </c>
      <c r="F36" s="12" t="s">
        <v>1</v>
      </c>
      <c r="G36" s="12" t="s">
        <v>1</v>
      </c>
      <c r="H36" s="12" t="s">
        <v>1</v>
      </c>
      <c r="I36" s="12" t="s">
        <v>1</v>
      </c>
      <c r="J36" s="70" t="s">
        <v>1</v>
      </c>
      <c r="K36" s="12" t="s">
        <v>1</v>
      </c>
      <c r="L36" s="12" t="s">
        <v>1</v>
      </c>
      <c r="M36" s="77" t="s">
        <v>1</v>
      </c>
      <c r="N36" s="77" t="s">
        <v>1</v>
      </c>
      <c r="O36" s="77" t="s">
        <v>1</v>
      </c>
      <c r="P36" s="72">
        <v>28100</v>
      </c>
    </row>
    <row r="37" spans="1:16" ht="15">
      <c r="A37" s="68">
        <v>4</v>
      </c>
      <c r="B37" s="86"/>
      <c r="C37" s="12" t="s">
        <v>1</v>
      </c>
      <c r="D37" s="12" t="s">
        <v>1</v>
      </c>
      <c r="E37" s="12" t="s">
        <v>1</v>
      </c>
      <c r="F37" s="12" t="s">
        <v>1</v>
      </c>
      <c r="G37" s="12" t="s">
        <v>1</v>
      </c>
      <c r="H37" s="12" t="s">
        <v>1</v>
      </c>
      <c r="I37" s="12" t="s">
        <v>1</v>
      </c>
      <c r="J37" s="70" t="s">
        <v>1</v>
      </c>
      <c r="K37" s="12" t="s">
        <v>1</v>
      </c>
      <c r="L37" s="12" t="s">
        <v>1</v>
      </c>
      <c r="M37" s="77" t="s">
        <v>1</v>
      </c>
      <c r="N37" s="77" t="s">
        <v>1</v>
      </c>
      <c r="O37" s="77" t="s">
        <v>1</v>
      </c>
      <c r="P37" s="72"/>
    </row>
    <row r="38" spans="1:16" ht="15">
      <c r="A38" s="68" t="s">
        <v>173</v>
      </c>
      <c r="B38" s="86"/>
      <c r="C38" s="12" t="s">
        <v>1</v>
      </c>
      <c r="D38" s="12" t="s">
        <v>1</v>
      </c>
      <c r="E38" s="12" t="s">
        <v>1</v>
      </c>
      <c r="F38" s="12" t="s">
        <v>1</v>
      </c>
      <c r="G38" s="12" t="s">
        <v>1</v>
      </c>
      <c r="H38" s="12" t="s">
        <v>1</v>
      </c>
      <c r="I38" s="12" t="s">
        <v>1</v>
      </c>
      <c r="J38" s="70" t="s">
        <v>1</v>
      </c>
      <c r="K38" s="12" t="s">
        <v>1</v>
      </c>
      <c r="L38" s="12" t="s">
        <v>1</v>
      </c>
      <c r="M38" s="77" t="s">
        <v>1</v>
      </c>
      <c r="N38" s="77" t="s">
        <v>1</v>
      </c>
      <c r="O38" s="77" t="s">
        <v>1</v>
      </c>
      <c r="P38" s="72"/>
    </row>
    <row r="39" spans="1:16" s="277" customFormat="1" ht="18" thickBot="1">
      <c r="A39" s="272"/>
      <c r="B39" s="273" t="s">
        <v>94</v>
      </c>
      <c r="C39" s="274" t="s">
        <v>1</v>
      </c>
      <c r="D39" s="274" t="s">
        <v>1</v>
      </c>
      <c r="E39" s="274" t="s">
        <v>1</v>
      </c>
      <c r="F39" s="274" t="s">
        <v>1</v>
      </c>
      <c r="G39" s="274" t="s">
        <v>1</v>
      </c>
      <c r="H39" s="274" t="s">
        <v>1</v>
      </c>
      <c r="I39" s="274" t="s">
        <v>1</v>
      </c>
      <c r="J39" s="275" t="s">
        <v>1</v>
      </c>
      <c r="K39" s="274" t="s">
        <v>1</v>
      </c>
      <c r="L39" s="274" t="s">
        <v>1</v>
      </c>
      <c r="M39" s="276" t="s">
        <v>1</v>
      </c>
      <c r="N39" s="276" t="s">
        <v>1</v>
      </c>
      <c r="O39" s="276" t="s">
        <v>1</v>
      </c>
      <c r="P39" s="276">
        <f>P31+P33</f>
        <v>4236918.559999999</v>
      </c>
    </row>
    <row r="40" spans="2:16" ht="18" thickBot="1">
      <c r="B40" s="88"/>
      <c r="C40" s="89"/>
      <c r="D40" s="89"/>
      <c r="E40" s="89"/>
      <c r="F40" s="89"/>
      <c r="G40" s="89"/>
      <c r="H40" s="89"/>
      <c r="I40" s="90"/>
      <c r="J40" s="91"/>
      <c r="K40" s="90"/>
      <c r="L40" s="90"/>
      <c r="M40" s="92"/>
      <c r="N40" s="92"/>
      <c r="O40" s="92"/>
      <c r="P40" s="93">
        <f>P39/1000</f>
        <v>4236.918559999998</v>
      </c>
    </row>
    <row r="41" spans="2:8" ht="15">
      <c r="B41" s="94"/>
      <c r="C41" s="89"/>
      <c r="D41" s="89"/>
      <c r="E41" s="89"/>
      <c r="F41" s="89"/>
      <c r="G41" s="89"/>
      <c r="H41" s="89"/>
    </row>
    <row r="42" spans="2:6" ht="15">
      <c r="B42" s="389"/>
      <c r="C42" s="389"/>
      <c r="D42" s="389"/>
      <c r="E42" s="389"/>
      <c r="F42" s="389"/>
    </row>
  </sheetData>
  <sheetProtection/>
  <mergeCells count="2">
    <mergeCell ref="O2:P2"/>
    <mergeCell ref="I8:J8"/>
  </mergeCells>
  <printOptions/>
  <pageMargins left="0.25" right="0.25" top="0.25" bottom="0.25" header="0.22" footer="0.16"/>
  <pageSetup horizontalDpi="600" verticalDpi="600" orientation="landscape" paperSize="9" scale="65" r:id="rId1"/>
  <ignoredErrors>
    <ignoredError sqref="P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9">
      <selection activeCell="B27" sqref="B27"/>
    </sheetView>
  </sheetViews>
  <sheetFormatPr defaultColWidth="9.140625" defaultRowHeight="12.75"/>
  <cols>
    <col min="1" max="1" width="4.28125" style="4" customWidth="1"/>
    <col min="2" max="2" width="30.7109375" style="95" customWidth="1"/>
    <col min="3" max="3" width="8.28125" style="95" customWidth="1"/>
    <col min="4" max="5" width="10.00390625" style="95" customWidth="1"/>
    <col min="6" max="6" width="9.140625" style="87" customWidth="1"/>
    <col min="7" max="7" width="8.00390625" style="95" customWidth="1"/>
    <col min="8" max="8" width="11.8515625" style="87" customWidth="1"/>
    <col min="9" max="9" width="12.140625" style="4" customWidth="1"/>
    <col min="10" max="16384" width="9.140625" style="5" customWidth="1"/>
  </cols>
  <sheetData>
    <row r="1" spans="1:14" s="31" customFormat="1" ht="15">
      <c r="A1" s="249"/>
      <c r="B1" s="3"/>
      <c r="C1" s="3"/>
      <c r="D1" s="107"/>
      <c r="E1" s="107"/>
      <c r="F1" s="3"/>
      <c r="G1" s="3"/>
      <c r="H1" s="30"/>
      <c r="I1" s="120" t="s">
        <v>96</v>
      </c>
      <c r="J1" s="3"/>
      <c r="K1" s="30"/>
      <c r="L1" s="30"/>
      <c r="M1" s="30"/>
      <c r="N1" s="30"/>
    </row>
    <row r="2" spans="1:14" s="31" customFormat="1" ht="12.75" customHeight="1">
      <c r="A2" s="30"/>
      <c r="B2" s="3"/>
      <c r="C2" s="3"/>
      <c r="D2" s="107"/>
      <c r="E2" s="107"/>
      <c r="F2" s="3"/>
      <c r="G2" s="3"/>
      <c r="H2" s="481" t="s">
        <v>9</v>
      </c>
      <c r="I2" s="481"/>
      <c r="J2" s="481"/>
      <c r="K2" s="30"/>
      <c r="L2" s="30"/>
      <c r="M2" s="30"/>
      <c r="N2" s="30"/>
    </row>
    <row r="3" spans="2:7" s="31" customFormat="1" ht="15" thickBot="1">
      <c r="B3" s="22" t="s">
        <v>10</v>
      </c>
      <c r="C3" s="7"/>
      <c r="D3" s="7"/>
      <c r="E3" s="7"/>
      <c r="F3" s="255"/>
      <c r="G3" s="255"/>
    </row>
    <row r="4" spans="1:9" s="31" customFormat="1" ht="15">
      <c r="A4" s="30"/>
      <c r="B4" s="107"/>
      <c r="C4" s="107"/>
      <c r="D4" s="107"/>
      <c r="E4" s="3"/>
      <c r="F4" s="108"/>
      <c r="G4" s="109"/>
      <c r="H4" s="99"/>
      <c r="I4" s="32"/>
    </row>
    <row r="5" spans="1:9" s="31" customFormat="1" ht="15">
      <c r="A5" s="30"/>
      <c r="B5" s="40" t="s">
        <v>59</v>
      </c>
      <c r="C5" s="108"/>
      <c r="D5" s="108"/>
      <c r="E5" s="108"/>
      <c r="F5" s="108"/>
      <c r="G5" s="108"/>
      <c r="H5" s="108"/>
      <c r="I5" s="30"/>
    </row>
    <row r="6" spans="1:9" s="31" customFormat="1" ht="30">
      <c r="A6" s="30"/>
      <c r="B6" s="108" t="s">
        <v>257</v>
      </c>
      <c r="C6" s="108"/>
      <c r="D6" s="108"/>
      <c r="E6" s="108"/>
      <c r="F6" s="108"/>
      <c r="G6" s="108"/>
      <c r="H6" s="108"/>
      <c r="I6" s="30"/>
    </row>
    <row r="7" spans="1:9" s="31" customFormat="1" ht="15">
      <c r="A7" s="30"/>
      <c r="B7" s="107"/>
      <c r="C7" s="107"/>
      <c r="D7" s="107"/>
      <c r="E7" s="107"/>
      <c r="F7" s="99"/>
      <c r="G7" s="107"/>
      <c r="H7" s="99"/>
      <c r="I7" s="30"/>
    </row>
    <row r="8" spans="1:14" s="15" customFormat="1" ht="54.75">
      <c r="A8" s="110"/>
      <c r="B8" s="111"/>
      <c r="C8" s="61" t="s">
        <v>98</v>
      </c>
      <c r="D8" s="61" t="s">
        <v>99</v>
      </c>
      <c r="E8" s="61" t="s">
        <v>100</v>
      </c>
      <c r="F8" s="61" t="s">
        <v>101</v>
      </c>
      <c r="G8" s="60" t="s">
        <v>102</v>
      </c>
      <c r="H8" s="60" t="s">
        <v>103</v>
      </c>
      <c r="I8" s="112" t="s">
        <v>104</v>
      </c>
      <c r="N8" s="31"/>
    </row>
    <row r="9" spans="1:14" s="15" customFormat="1" ht="15">
      <c r="A9" s="7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74">
        <v>9</v>
      </c>
      <c r="N9" s="31"/>
    </row>
    <row r="10" spans="1:14" ht="53.25">
      <c r="A10" s="74">
        <v>1</v>
      </c>
      <c r="B10" s="71" t="s">
        <v>226</v>
      </c>
      <c r="C10" s="24" t="s">
        <v>1</v>
      </c>
      <c r="D10" s="24" t="s">
        <v>1</v>
      </c>
      <c r="E10" s="24" t="s">
        <v>1</v>
      </c>
      <c r="F10" s="12">
        <v>3150</v>
      </c>
      <c r="G10" s="24">
        <v>29.32</v>
      </c>
      <c r="H10" s="72">
        <f>F10*G10</f>
        <v>92358</v>
      </c>
      <c r="I10" s="306">
        <f>H10*0.05348</f>
        <v>4939.30584</v>
      </c>
      <c r="N10" s="31"/>
    </row>
    <row r="11" spans="1:14" ht="66">
      <c r="A11" s="74">
        <v>2</v>
      </c>
      <c r="B11" s="71" t="s">
        <v>106</v>
      </c>
      <c r="C11" s="24" t="s">
        <v>1</v>
      </c>
      <c r="D11" s="24" t="s">
        <v>1</v>
      </c>
      <c r="E11" s="24" t="s">
        <v>1</v>
      </c>
      <c r="F11" s="12">
        <v>320</v>
      </c>
      <c r="G11" s="24">
        <v>21.4</v>
      </c>
      <c r="H11" s="72">
        <f>F11*G11</f>
        <v>6848</v>
      </c>
      <c r="I11" s="306">
        <f aca="true" t="shared" si="0" ref="I11:I18">H11*0.05348</f>
        <v>366.23104</v>
      </c>
      <c r="N11" s="31"/>
    </row>
    <row r="12" spans="1:9" ht="53.25">
      <c r="A12" s="74">
        <v>3</v>
      </c>
      <c r="B12" s="71" t="s">
        <v>107</v>
      </c>
      <c r="C12" s="71">
        <v>80</v>
      </c>
      <c r="D12" s="24" t="s">
        <v>1</v>
      </c>
      <c r="E12" s="24" t="s">
        <v>1</v>
      </c>
      <c r="F12" s="24" t="s">
        <v>1</v>
      </c>
      <c r="G12" s="24">
        <v>1100</v>
      </c>
      <c r="H12" s="113">
        <f>C12*G12</f>
        <v>88000</v>
      </c>
      <c r="I12" s="306">
        <f t="shared" si="0"/>
        <v>4706.24</v>
      </c>
    </row>
    <row r="13" spans="1:9" ht="39.75">
      <c r="A13" s="74">
        <v>4</v>
      </c>
      <c r="B13" s="71" t="s">
        <v>105</v>
      </c>
      <c r="C13" s="24"/>
      <c r="D13" s="113">
        <f>SUM(D15:D18)</f>
        <v>9</v>
      </c>
      <c r="E13" s="113">
        <f>SUM(E15:E18)</f>
        <v>4320</v>
      </c>
      <c r="F13" s="24" t="s">
        <v>1</v>
      </c>
      <c r="G13" s="24" t="s">
        <v>1</v>
      </c>
      <c r="H13" s="113">
        <f>SUM(H15:H18)</f>
        <v>12240</v>
      </c>
      <c r="I13" s="113">
        <f>SUM(I15:I18)</f>
        <v>654.5952</v>
      </c>
    </row>
    <row r="14" spans="1:9" ht="21" customHeight="1">
      <c r="A14" s="74"/>
      <c r="B14" s="71" t="s">
        <v>108</v>
      </c>
      <c r="C14" s="24"/>
      <c r="D14" s="24"/>
      <c r="E14" s="24"/>
      <c r="F14" s="24"/>
      <c r="G14" s="24"/>
      <c r="H14" s="113"/>
      <c r="I14" s="306">
        <f t="shared" si="0"/>
        <v>0</v>
      </c>
    </row>
    <row r="15" spans="1:9" ht="21" customHeight="1">
      <c r="A15" s="74">
        <v>4.1</v>
      </c>
      <c r="B15" s="71" t="s">
        <v>299</v>
      </c>
      <c r="C15" s="24" t="s">
        <v>1</v>
      </c>
      <c r="D15" s="24">
        <v>7</v>
      </c>
      <c r="E15" s="24">
        <v>720</v>
      </c>
      <c r="F15" s="24" t="s">
        <v>1</v>
      </c>
      <c r="G15" s="24" t="s">
        <v>1</v>
      </c>
      <c r="H15" s="113">
        <f>D15*E15</f>
        <v>5040</v>
      </c>
      <c r="I15" s="306">
        <f t="shared" si="0"/>
        <v>269.5392</v>
      </c>
    </row>
    <row r="16" spans="1:9" ht="21" customHeight="1">
      <c r="A16" s="74">
        <v>4.2</v>
      </c>
      <c r="B16" s="71" t="s">
        <v>300</v>
      </c>
      <c r="C16" s="24" t="s">
        <v>1</v>
      </c>
      <c r="D16" s="24"/>
      <c r="E16" s="24"/>
      <c r="F16" s="24" t="s">
        <v>1</v>
      </c>
      <c r="G16" s="24" t="s">
        <v>1</v>
      </c>
      <c r="H16" s="113">
        <f>D16*E16</f>
        <v>0</v>
      </c>
      <c r="I16" s="306">
        <f t="shared" si="0"/>
        <v>0</v>
      </c>
    </row>
    <row r="17" spans="1:9" ht="18" customHeight="1">
      <c r="A17" s="74">
        <v>4.3</v>
      </c>
      <c r="B17" s="71" t="s">
        <v>301</v>
      </c>
      <c r="C17" s="24" t="s">
        <v>1</v>
      </c>
      <c r="D17" s="24">
        <v>2</v>
      </c>
      <c r="E17" s="24">
        <v>3600</v>
      </c>
      <c r="F17" s="24" t="s">
        <v>1</v>
      </c>
      <c r="G17" s="24" t="s">
        <v>1</v>
      </c>
      <c r="H17" s="113">
        <f>D17*E17</f>
        <v>7200</v>
      </c>
      <c r="I17" s="306">
        <f t="shared" si="0"/>
        <v>385.056</v>
      </c>
    </row>
    <row r="18" spans="1:9" ht="18" customHeight="1">
      <c r="A18" s="74">
        <v>4.4</v>
      </c>
      <c r="B18" s="71"/>
      <c r="C18" s="24" t="s">
        <v>1</v>
      </c>
      <c r="D18" s="24"/>
      <c r="E18" s="24"/>
      <c r="F18" s="24" t="s">
        <v>1</v>
      </c>
      <c r="G18" s="24" t="s">
        <v>1</v>
      </c>
      <c r="H18" s="113">
        <f>D18*E18</f>
        <v>0</v>
      </c>
      <c r="I18" s="306">
        <f t="shared" si="0"/>
        <v>0</v>
      </c>
    </row>
    <row r="19" spans="1:9" ht="27" customHeight="1">
      <c r="A19" s="114"/>
      <c r="B19" s="115" t="s">
        <v>94</v>
      </c>
      <c r="C19" s="115"/>
      <c r="D19" s="116" t="s">
        <v>1</v>
      </c>
      <c r="E19" s="116" t="s">
        <v>1</v>
      </c>
      <c r="F19" s="116" t="s">
        <v>1</v>
      </c>
      <c r="G19" s="116" t="s">
        <v>1</v>
      </c>
      <c r="H19" s="117">
        <f>SUM(H10:H13)</f>
        <v>199446</v>
      </c>
      <c r="I19" s="117">
        <f>SUM(I10:I13)*0.65</f>
        <v>6933.141852</v>
      </c>
    </row>
    <row r="22" spans="2:8" ht="15">
      <c r="B22" s="118"/>
      <c r="C22" s="119"/>
      <c r="D22" s="119"/>
      <c r="E22" s="119"/>
      <c r="F22" s="89"/>
      <c r="G22" s="119"/>
      <c r="H22" s="89"/>
    </row>
  </sheetData>
  <sheetProtection/>
  <mergeCells count="1">
    <mergeCell ref="H2:J2"/>
  </mergeCells>
  <printOptions/>
  <pageMargins left="0.21" right="0.17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4">
      <selection activeCell="G9" sqref="G9"/>
    </sheetView>
  </sheetViews>
  <sheetFormatPr defaultColWidth="9.140625" defaultRowHeight="12.75"/>
  <cols>
    <col min="1" max="1" width="4.28125" style="4" customWidth="1"/>
    <col min="2" max="2" width="17.00390625" style="95" customWidth="1"/>
    <col min="3" max="3" width="10.7109375" style="87" bestFit="1" customWidth="1"/>
    <col min="4" max="4" width="10.7109375" style="95" bestFit="1" customWidth="1"/>
    <col min="5" max="5" width="11.140625" style="95" bestFit="1" customWidth="1"/>
    <col min="6" max="7" width="11.8515625" style="87" customWidth="1"/>
    <col min="8" max="8" width="9.421875" style="87" bestFit="1" customWidth="1"/>
    <col min="9" max="9" width="12.8515625" style="87" customWidth="1"/>
    <col min="10" max="10" width="11.7109375" style="87" bestFit="1" customWidth="1"/>
    <col min="11" max="11" width="8.8515625" style="4" bestFit="1" customWidth="1"/>
    <col min="12" max="12" width="9.8515625" style="4" customWidth="1"/>
    <col min="13" max="13" width="12.00390625" style="5" bestFit="1" customWidth="1"/>
    <col min="14" max="16384" width="9.140625" style="5" customWidth="1"/>
  </cols>
  <sheetData>
    <row r="1" spans="1:14" s="31" customFormat="1" ht="15">
      <c r="A1" s="249"/>
      <c r="B1" s="3"/>
      <c r="C1" s="3"/>
      <c r="D1" s="107"/>
      <c r="E1" s="107"/>
      <c r="F1" s="3"/>
      <c r="G1" s="3"/>
      <c r="H1" s="481"/>
      <c r="I1" s="481"/>
      <c r="J1" s="30"/>
      <c r="K1" s="30"/>
      <c r="L1" s="120" t="s">
        <v>109</v>
      </c>
      <c r="M1" s="3"/>
      <c r="N1" s="30"/>
    </row>
    <row r="2" spans="1:14" s="31" customFormat="1" ht="12.75" customHeight="1">
      <c r="A2" s="249"/>
      <c r="B2" s="3"/>
      <c r="C2" s="3"/>
      <c r="D2" s="107"/>
      <c r="E2" s="107"/>
      <c r="F2" s="3"/>
      <c r="G2" s="3"/>
      <c r="H2" s="481"/>
      <c r="I2" s="481"/>
      <c r="J2" s="30"/>
      <c r="K2" s="481" t="s">
        <v>9</v>
      </c>
      <c r="L2" s="481"/>
      <c r="M2" s="481"/>
      <c r="N2" s="30"/>
    </row>
    <row r="3" spans="2:7" s="31" customFormat="1" ht="14.25" customHeight="1" thickBot="1">
      <c r="B3" s="472" t="s">
        <v>10</v>
      </c>
      <c r="C3" s="472"/>
      <c r="D3" s="7"/>
      <c r="E3" s="7"/>
      <c r="F3" s="255"/>
      <c r="G3" s="255"/>
    </row>
    <row r="4" spans="1:10" s="31" customFormat="1" ht="23.25" customHeight="1">
      <c r="A4" s="30"/>
      <c r="B4" s="108" t="s">
        <v>59</v>
      </c>
      <c r="C4" s="108"/>
      <c r="D4" s="108"/>
      <c r="E4" s="108"/>
      <c r="F4" s="108"/>
      <c r="G4" s="108"/>
      <c r="H4" s="121"/>
      <c r="I4" s="121"/>
      <c r="J4" s="121"/>
    </row>
    <row r="5" spans="1:10" s="31" customFormat="1" ht="30">
      <c r="A5" s="30"/>
      <c r="B5" s="108" t="s">
        <v>258</v>
      </c>
      <c r="C5" s="108"/>
      <c r="D5" s="108"/>
      <c r="E5" s="108"/>
      <c r="F5" s="108"/>
      <c r="G5" s="108"/>
      <c r="H5" s="121"/>
      <c r="I5" s="121"/>
      <c r="J5" s="121"/>
    </row>
    <row r="6" spans="1:12" s="31" customFormat="1" ht="15">
      <c r="A6" s="30"/>
      <c r="B6" s="108"/>
      <c r="C6" s="108"/>
      <c r="D6" s="108"/>
      <c r="E6" s="108"/>
      <c r="F6" s="108"/>
      <c r="G6" s="108"/>
      <c r="H6" s="108"/>
      <c r="I6" s="108"/>
      <c r="J6" s="108"/>
      <c r="K6" s="30"/>
      <c r="L6" s="30"/>
    </row>
    <row r="7" spans="1:13" s="15" customFormat="1" ht="75">
      <c r="A7" s="110" t="s">
        <v>95</v>
      </c>
      <c r="B7" s="61" t="s">
        <v>110</v>
      </c>
      <c r="C7" s="61" t="s">
        <v>114</v>
      </c>
      <c r="D7" s="14" t="s">
        <v>115</v>
      </c>
      <c r="E7" s="14" t="s">
        <v>111</v>
      </c>
      <c r="F7" s="14" t="s">
        <v>116</v>
      </c>
      <c r="G7" s="60" t="s">
        <v>117</v>
      </c>
      <c r="H7" s="14" t="s">
        <v>118</v>
      </c>
      <c r="I7" s="14" t="s">
        <v>119</v>
      </c>
      <c r="J7" s="14" t="s">
        <v>120</v>
      </c>
      <c r="K7" s="60" t="s">
        <v>121</v>
      </c>
      <c r="L7" s="60" t="s">
        <v>122</v>
      </c>
      <c r="M7" s="112" t="s">
        <v>123</v>
      </c>
    </row>
    <row r="8" spans="1:13" s="15" customFormat="1" ht="18" customHeight="1">
      <c r="A8" s="74">
        <v>1</v>
      </c>
      <c r="B8" s="14">
        <v>2</v>
      </c>
      <c r="C8" s="14">
        <v>3</v>
      </c>
      <c r="D8" s="74">
        <v>4</v>
      </c>
      <c r="E8" s="14">
        <v>5</v>
      </c>
      <c r="F8" s="14">
        <v>6</v>
      </c>
      <c r="G8" s="74">
        <v>7</v>
      </c>
      <c r="H8" s="14">
        <v>8</v>
      </c>
      <c r="I8" s="14">
        <v>9</v>
      </c>
      <c r="J8" s="74">
        <v>10</v>
      </c>
      <c r="K8" s="14">
        <v>11</v>
      </c>
      <c r="L8" s="14">
        <v>12</v>
      </c>
      <c r="M8" s="74">
        <v>13</v>
      </c>
    </row>
    <row r="9" spans="1:13" s="15" customFormat="1" ht="18" customHeight="1">
      <c r="A9" s="124">
        <v>1</v>
      </c>
      <c r="B9" s="24"/>
      <c r="C9" s="125" t="s">
        <v>112</v>
      </c>
      <c r="D9" s="24">
        <v>15650</v>
      </c>
      <c r="E9" s="24">
        <v>14850</v>
      </c>
      <c r="F9" s="24">
        <v>0.0184</v>
      </c>
      <c r="G9" s="113">
        <f aca="true" t="shared" si="0" ref="G9:G14">E9*F9</f>
        <v>273.24</v>
      </c>
      <c r="H9" s="126">
        <v>147</v>
      </c>
      <c r="I9" s="24" t="s">
        <v>1</v>
      </c>
      <c r="J9" s="24" t="s">
        <v>1</v>
      </c>
      <c r="K9" s="126">
        <f>G9*H9</f>
        <v>40166.28</v>
      </c>
      <c r="L9" s="304">
        <v>0.139</v>
      </c>
      <c r="M9" s="305">
        <f aca="true" t="shared" si="1" ref="M9:M14">K9*L9</f>
        <v>5583.1129200000005</v>
      </c>
    </row>
    <row r="10" spans="1:13" ht="27">
      <c r="A10" s="124"/>
      <c r="B10" s="71"/>
      <c r="C10" s="125" t="s">
        <v>124</v>
      </c>
      <c r="D10" s="24"/>
      <c r="E10" s="24"/>
      <c r="F10" s="24"/>
      <c r="G10" s="113">
        <f t="shared" si="0"/>
        <v>0</v>
      </c>
      <c r="H10" s="126">
        <v>147</v>
      </c>
      <c r="I10" s="126" t="s">
        <v>1</v>
      </c>
      <c r="J10" s="24" t="s">
        <v>1</v>
      </c>
      <c r="K10" s="126">
        <f>G10*H10</f>
        <v>0</v>
      </c>
      <c r="L10" s="304">
        <v>0.139</v>
      </c>
      <c r="M10" s="305">
        <f t="shared" si="1"/>
        <v>0</v>
      </c>
    </row>
    <row r="11" spans="1:13" ht="18" customHeight="1">
      <c r="A11" s="124">
        <v>2</v>
      </c>
      <c r="B11" s="71"/>
      <c r="C11" s="125" t="s">
        <v>112</v>
      </c>
      <c r="D11" s="24"/>
      <c r="E11" s="24"/>
      <c r="F11" s="24"/>
      <c r="G11" s="113">
        <f t="shared" si="0"/>
        <v>0</v>
      </c>
      <c r="H11" s="24" t="s">
        <v>1</v>
      </c>
      <c r="I11" s="126">
        <v>139</v>
      </c>
      <c r="J11" s="24" t="s">
        <v>1</v>
      </c>
      <c r="K11" s="126">
        <f>G11*I11</f>
        <v>0</v>
      </c>
      <c r="L11" s="304">
        <v>0.139</v>
      </c>
      <c r="M11" s="305">
        <f t="shared" si="1"/>
        <v>0</v>
      </c>
    </row>
    <row r="12" spans="1:13" ht="27">
      <c r="A12" s="124"/>
      <c r="B12" s="71"/>
      <c r="C12" s="125" t="s">
        <v>124</v>
      </c>
      <c r="D12" s="24"/>
      <c r="E12" s="24"/>
      <c r="F12" s="24"/>
      <c r="G12" s="113">
        <f t="shared" si="0"/>
        <v>0</v>
      </c>
      <c r="H12" s="24" t="s">
        <v>1</v>
      </c>
      <c r="I12" s="126">
        <v>139</v>
      </c>
      <c r="J12" s="24" t="s">
        <v>1</v>
      </c>
      <c r="K12" s="126">
        <f>G12*I12</f>
        <v>0</v>
      </c>
      <c r="L12" s="304">
        <v>0.139</v>
      </c>
      <c r="M12" s="305">
        <f t="shared" si="1"/>
        <v>0</v>
      </c>
    </row>
    <row r="13" spans="1:13" s="15" customFormat="1" ht="18" customHeight="1">
      <c r="A13" s="124">
        <v>3</v>
      </c>
      <c r="B13" s="24"/>
      <c r="C13" s="125" t="s">
        <v>112</v>
      </c>
      <c r="D13" s="24"/>
      <c r="E13" s="24"/>
      <c r="F13" s="24"/>
      <c r="G13" s="113">
        <f t="shared" si="0"/>
        <v>0</v>
      </c>
      <c r="H13" s="24" t="s">
        <v>1</v>
      </c>
      <c r="I13" s="24" t="s">
        <v>1</v>
      </c>
      <c r="J13" s="113">
        <v>110</v>
      </c>
      <c r="K13" s="126">
        <f>G13*J13</f>
        <v>0</v>
      </c>
      <c r="L13" s="304">
        <v>0.139</v>
      </c>
      <c r="M13" s="305">
        <f t="shared" si="1"/>
        <v>0</v>
      </c>
    </row>
    <row r="14" spans="1:13" ht="27">
      <c r="A14" s="124"/>
      <c r="B14" s="71"/>
      <c r="C14" s="125" t="s">
        <v>124</v>
      </c>
      <c r="D14" s="24"/>
      <c r="E14" s="24"/>
      <c r="F14" s="24"/>
      <c r="G14" s="113">
        <f t="shared" si="0"/>
        <v>0</v>
      </c>
      <c r="H14" s="126" t="s">
        <v>1</v>
      </c>
      <c r="I14" s="126" t="s">
        <v>1</v>
      </c>
      <c r="J14" s="126">
        <v>110</v>
      </c>
      <c r="K14" s="126">
        <f>G14*J14</f>
        <v>0</v>
      </c>
      <c r="L14" s="304">
        <v>0.139</v>
      </c>
      <c r="M14" s="305">
        <f t="shared" si="1"/>
        <v>0</v>
      </c>
    </row>
    <row r="15" spans="1:13" ht="22.5" customHeight="1">
      <c r="A15" s="127"/>
      <c r="B15" s="20" t="s">
        <v>94</v>
      </c>
      <c r="C15" s="116" t="s">
        <v>1</v>
      </c>
      <c r="D15" s="116" t="s">
        <v>1</v>
      </c>
      <c r="E15" s="116" t="s">
        <v>1</v>
      </c>
      <c r="F15" s="116" t="s">
        <v>1</v>
      </c>
      <c r="G15" s="116" t="s">
        <v>1</v>
      </c>
      <c r="H15" s="116" t="s">
        <v>1</v>
      </c>
      <c r="I15" s="116" t="s">
        <v>1</v>
      </c>
      <c r="J15" s="116" t="s">
        <v>1</v>
      </c>
      <c r="K15" s="116" t="s">
        <v>1</v>
      </c>
      <c r="L15" s="116" t="s">
        <v>1</v>
      </c>
      <c r="M15" s="122">
        <f>SUM(M9:M14)</f>
        <v>5583.1129200000005</v>
      </c>
    </row>
    <row r="16" spans="1:13" ht="27" customHeight="1">
      <c r="A16" s="128"/>
      <c r="B16" s="123"/>
      <c r="C16" s="129"/>
      <c r="D16" s="129"/>
      <c r="E16" s="129"/>
      <c r="F16" s="129"/>
      <c r="G16" s="129"/>
      <c r="H16" s="129"/>
      <c r="I16" s="129"/>
      <c r="J16" s="130"/>
      <c r="K16" s="130"/>
      <c r="L16" s="130"/>
      <c r="M16" s="131"/>
    </row>
    <row r="17" spans="1:13" ht="10.5" customHeight="1">
      <c r="A17" s="128"/>
      <c r="C17" s="123"/>
      <c r="D17" s="123"/>
      <c r="E17" s="123"/>
      <c r="F17" s="123"/>
      <c r="G17" s="123"/>
      <c r="H17" s="123"/>
      <c r="I17" s="123" t="s">
        <v>0</v>
      </c>
      <c r="J17" s="123"/>
      <c r="K17" s="123"/>
      <c r="L17" s="123"/>
      <c r="M17" s="132"/>
    </row>
    <row r="18" spans="1:13" ht="22.5" customHeight="1">
      <c r="A18" s="30"/>
      <c r="B18" s="133" t="s">
        <v>126</v>
      </c>
      <c r="C18" s="108"/>
      <c r="D18" s="109" t="s">
        <v>0</v>
      </c>
      <c r="E18" s="109"/>
      <c r="F18" s="108"/>
      <c r="G18" s="108"/>
      <c r="H18" s="108"/>
      <c r="I18" s="108"/>
      <c r="J18" s="108"/>
      <c r="K18" s="121"/>
      <c r="L18" s="121"/>
      <c r="M18" s="121"/>
    </row>
    <row r="19" spans="1:14" ht="28.5" customHeight="1">
      <c r="A19" s="30"/>
      <c r="B19" s="123" t="s">
        <v>153</v>
      </c>
      <c r="C19" s="108"/>
      <c r="D19" s="109"/>
      <c r="E19" s="109"/>
      <c r="F19" s="108"/>
      <c r="G19" s="108"/>
      <c r="H19" s="108"/>
      <c r="I19" s="108"/>
      <c r="J19" s="108"/>
      <c r="K19" s="121"/>
      <c r="L19" s="121"/>
      <c r="M19" s="121"/>
      <c r="N19" s="5" t="s">
        <v>0</v>
      </c>
    </row>
    <row r="20" spans="1:13" ht="15">
      <c r="A20" s="30"/>
      <c r="B20" s="123" t="s">
        <v>125</v>
      </c>
      <c r="C20" s="108"/>
      <c r="D20" s="109"/>
      <c r="E20" s="109"/>
      <c r="F20" s="108"/>
      <c r="G20" s="108"/>
      <c r="H20" s="108"/>
      <c r="I20" s="108"/>
      <c r="J20" s="108"/>
      <c r="K20" s="121" t="s">
        <v>0</v>
      </c>
      <c r="L20" s="121"/>
      <c r="M20" s="121"/>
    </row>
    <row r="21" spans="2:6" ht="15">
      <c r="B21" s="119"/>
      <c r="C21" s="89"/>
      <c r="D21" s="119"/>
      <c r="E21" s="119"/>
      <c r="F21" s="89"/>
    </row>
  </sheetData>
  <sheetProtection/>
  <mergeCells count="4">
    <mergeCell ref="B3:C3"/>
    <mergeCell ref="H1:I1"/>
    <mergeCell ref="H2:I2"/>
    <mergeCell ref="K2:M2"/>
  </mergeCells>
  <printOptions/>
  <pageMargins left="0.19" right="0.17" top="0.42" bottom="0.53" header="0.2" footer="0.2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C16">
      <selection activeCell="L29" sqref="L29"/>
    </sheetView>
  </sheetViews>
  <sheetFormatPr defaultColWidth="9.140625" defaultRowHeight="12.75"/>
  <cols>
    <col min="1" max="1" width="3.421875" style="4" customWidth="1"/>
    <col min="2" max="2" width="22.7109375" style="5" customWidth="1"/>
    <col min="3" max="3" width="20.28125" style="5" customWidth="1"/>
    <col min="4" max="4" width="9.8515625" style="5" bestFit="1" customWidth="1"/>
    <col min="5" max="5" width="8.7109375" style="5" bestFit="1" customWidth="1"/>
    <col min="6" max="6" width="6.8515625" style="168" customWidth="1"/>
    <col min="7" max="7" width="11.57421875" style="168" customWidth="1"/>
    <col min="8" max="8" width="11.7109375" style="5" customWidth="1"/>
    <col min="9" max="9" width="9.57421875" style="5" customWidth="1"/>
    <col min="10" max="10" width="10.8515625" style="5" bestFit="1" customWidth="1"/>
    <col min="11" max="11" width="9.7109375" style="5" customWidth="1"/>
    <col min="12" max="12" width="15.28125" style="5" customWidth="1"/>
    <col min="13" max="13" width="7.28125" style="168" customWidth="1"/>
    <col min="14" max="14" width="11.57421875" style="168" customWidth="1"/>
    <col min="15" max="15" width="12.140625" style="5" customWidth="1"/>
    <col min="16" max="16" width="9.57421875" style="5" customWidth="1"/>
    <col min="17" max="17" width="10.8515625" style="5" bestFit="1" customWidth="1"/>
    <col min="18" max="18" width="9.57421875" style="5" customWidth="1"/>
    <col min="19" max="19" width="14.28125" style="5" customWidth="1"/>
    <col min="20" max="20" width="13.8515625" style="5" customWidth="1"/>
    <col min="21" max="16384" width="9.140625" style="5" customWidth="1"/>
  </cols>
  <sheetData>
    <row r="1" spans="1:24" s="31" customFormat="1" ht="15">
      <c r="A1" s="249"/>
      <c r="B1" s="3"/>
      <c r="C1" s="3"/>
      <c r="D1" s="3"/>
      <c r="E1" s="3"/>
      <c r="F1" s="3"/>
      <c r="G1" s="107"/>
      <c r="H1" s="107"/>
      <c r="I1" s="107"/>
      <c r="J1" s="3"/>
      <c r="K1" s="3"/>
      <c r="L1" s="134"/>
      <c r="M1" s="134"/>
      <c r="N1" s="134"/>
      <c r="O1" s="134"/>
      <c r="P1" s="134"/>
      <c r="Q1" s="30"/>
      <c r="R1" s="120" t="s">
        <v>113</v>
      </c>
      <c r="S1" s="3"/>
      <c r="T1" s="481"/>
      <c r="U1" s="481"/>
      <c r="V1" s="481"/>
      <c r="W1" s="481"/>
      <c r="X1" s="481"/>
    </row>
    <row r="2" spans="1:24" s="31" customFormat="1" ht="12.75" customHeight="1">
      <c r="A2" s="249"/>
      <c r="B2" s="3"/>
      <c r="C2" s="3"/>
      <c r="D2" s="3"/>
      <c r="E2" s="3"/>
      <c r="F2" s="3"/>
      <c r="G2" s="107"/>
      <c r="H2" s="107"/>
      <c r="I2" s="107"/>
      <c r="J2" s="3"/>
      <c r="K2" s="3"/>
      <c r="L2" s="134"/>
      <c r="M2" s="134"/>
      <c r="N2" s="134"/>
      <c r="O2" s="134"/>
      <c r="P2" s="134"/>
      <c r="Q2" s="481" t="s">
        <v>9</v>
      </c>
      <c r="R2" s="481"/>
      <c r="S2" s="481"/>
      <c r="T2" s="481"/>
      <c r="U2" s="481"/>
      <c r="V2" s="481"/>
      <c r="W2" s="481"/>
      <c r="X2" s="481"/>
    </row>
    <row r="3" spans="2:21" s="31" customFormat="1" ht="15" thickBot="1">
      <c r="B3" s="472" t="s">
        <v>661</v>
      </c>
      <c r="C3" s="472"/>
      <c r="D3" s="472"/>
      <c r="E3" s="472"/>
      <c r="F3" s="472"/>
      <c r="G3" s="7"/>
      <c r="H3" s="7"/>
      <c r="I3" s="7"/>
      <c r="J3" s="255"/>
      <c r="K3" s="255"/>
      <c r="L3" s="134"/>
      <c r="M3" s="134"/>
      <c r="N3" s="134"/>
      <c r="O3" s="134"/>
      <c r="P3" s="134"/>
      <c r="Q3" s="134"/>
      <c r="R3" s="134"/>
      <c r="S3" s="134"/>
      <c r="U3" s="31" t="s">
        <v>0</v>
      </c>
    </row>
    <row r="4" spans="1:19" s="31" customFormat="1" ht="18" customHeight="1">
      <c r="A4" s="30"/>
      <c r="B4" s="497" t="s">
        <v>128</v>
      </c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36"/>
      <c r="N4" s="36"/>
      <c r="O4" s="36"/>
      <c r="P4" s="36"/>
      <c r="Q4" s="36"/>
      <c r="R4" s="36"/>
      <c r="S4" s="36"/>
    </row>
    <row r="5" spans="1:19" s="31" customFormat="1" ht="15">
      <c r="A5" s="30"/>
      <c r="B5" s="173"/>
      <c r="C5" s="173"/>
      <c r="D5" s="173"/>
      <c r="E5" s="173"/>
      <c r="F5" s="256"/>
      <c r="G5" s="256"/>
      <c r="H5" s="173"/>
      <c r="I5" s="173"/>
      <c r="J5" s="173"/>
      <c r="K5" s="173"/>
      <c r="L5" s="173"/>
      <c r="M5" s="257"/>
      <c r="N5" s="257"/>
      <c r="O5" s="10"/>
      <c r="P5" s="10"/>
      <c r="Q5" s="10"/>
      <c r="R5" s="10"/>
      <c r="S5" s="10"/>
    </row>
    <row r="6" spans="1:19" s="31" customFormat="1" ht="15">
      <c r="A6" s="30"/>
      <c r="B6" s="497" t="s">
        <v>129</v>
      </c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176"/>
      <c r="N6" s="176"/>
      <c r="O6" s="176"/>
      <c r="P6" s="176"/>
      <c r="Q6" s="176"/>
      <c r="R6" s="176"/>
      <c r="S6" s="176"/>
    </row>
    <row r="7" spans="1:19" s="31" customFormat="1" ht="15">
      <c r="A7" s="30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</row>
    <row r="8" spans="1:20" s="31" customFormat="1" ht="15" thickBot="1">
      <c r="A8" s="30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495" t="s">
        <v>130</v>
      </c>
      <c r="T8" s="495"/>
    </row>
    <row r="9" spans="1:20" ht="15" thickBot="1">
      <c r="A9" s="135"/>
      <c r="B9" s="136"/>
      <c r="C9" s="371"/>
      <c r="D9" s="490" t="s">
        <v>259</v>
      </c>
      <c r="E9" s="491"/>
      <c r="F9" s="496" t="s">
        <v>237</v>
      </c>
      <c r="G9" s="493"/>
      <c r="H9" s="493"/>
      <c r="I9" s="493"/>
      <c r="J9" s="493"/>
      <c r="K9" s="493"/>
      <c r="L9" s="494"/>
      <c r="M9" s="492" t="s">
        <v>238</v>
      </c>
      <c r="N9" s="493"/>
      <c r="O9" s="493"/>
      <c r="P9" s="493"/>
      <c r="Q9" s="493"/>
      <c r="R9" s="493"/>
      <c r="S9" s="494"/>
      <c r="T9" s="137"/>
    </row>
    <row r="10" spans="1:20" ht="21.75" customHeight="1">
      <c r="A10" s="138"/>
      <c r="B10" s="139"/>
      <c r="C10" s="372"/>
      <c r="D10" s="217"/>
      <c r="E10" s="217"/>
      <c r="F10" s="219"/>
      <c r="G10" s="140"/>
      <c r="H10" s="140"/>
      <c r="I10" s="488" t="s">
        <v>138</v>
      </c>
      <c r="J10" s="489"/>
      <c r="K10" s="140"/>
      <c r="L10" s="141"/>
      <c r="M10" s="142"/>
      <c r="N10" s="140"/>
      <c r="O10" s="140"/>
      <c r="P10" s="488" t="s">
        <v>138</v>
      </c>
      <c r="Q10" s="489"/>
      <c r="R10" s="140"/>
      <c r="S10" s="141"/>
      <c r="T10" s="143"/>
    </row>
    <row r="11" spans="1:20" s="15" customFormat="1" ht="63.75" customHeight="1" thickBot="1">
      <c r="A11" s="144" t="s">
        <v>95</v>
      </c>
      <c r="B11" s="145" t="s">
        <v>131</v>
      </c>
      <c r="C11" s="373" t="s">
        <v>231</v>
      </c>
      <c r="D11" s="218" t="s">
        <v>133</v>
      </c>
      <c r="E11" s="218" t="s">
        <v>137</v>
      </c>
      <c r="F11" s="214" t="s">
        <v>132</v>
      </c>
      <c r="G11" s="146" t="s">
        <v>133</v>
      </c>
      <c r="H11" s="146" t="s">
        <v>134</v>
      </c>
      <c r="I11" s="147" t="s">
        <v>135</v>
      </c>
      <c r="J11" s="147" t="s">
        <v>94</v>
      </c>
      <c r="K11" s="146" t="s">
        <v>136</v>
      </c>
      <c r="L11" s="148" t="s">
        <v>137</v>
      </c>
      <c r="M11" s="149" t="s">
        <v>132</v>
      </c>
      <c r="N11" s="146" t="s">
        <v>133</v>
      </c>
      <c r="O11" s="146" t="s">
        <v>134</v>
      </c>
      <c r="P11" s="147" t="s">
        <v>135</v>
      </c>
      <c r="Q11" s="147" t="s">
        <v>94</v>
      </c>
      <c r="R11" s="146" t="s">
        <v>139</v>
      </c>
      <c r="S11" s="148" t="s">
        <v>137</v>
      </c>
      <c r="T11" s="150" t="s">
        <v>140</v>
      </c>
    </row>
    <row r="12" spans="1:20" s="15" customFormat="1" ht="11.25" thickBot="1">
      <c r="A12" s="96">
        <v>1</v>
      </c>
      <c r="B12" s="97">
        <v>2</v>
      </c>
      <c r="C12" s="96">
        <v>3</v>
      </c>
      <c r="D12" s="97">
        <v>4</v>
      </c>
      <c r="E12" s="96">
        <v>5</v>
      </c>
      <c r="F12" s="97">
        <v>6</v>
      </c>
      <c r="G12" s="96">
        <v>7</v>
      </c>
      <c r="H12" s="97">
        <v>8</v>
      </c>
      <c r="I12" s="96">
        <v>9</v>
      </c>
      <c r="J12" s="97">
        <v>10</v>
      </c>
      <c r="K12" s="96">
        <v>11</v>
      </c>
      <c r="L12" s="97">
        <v>12</v>
      </c>
      <c r="M12" s="96">
        <v>13</v>
      </c>
      <c r="N12" s="97">
        <v>14</v>
      </c>
      <c r="O12" s="96">
        <v>15</v>
      </c>
      <c r="P12" s="97">
        <v>16</v>
      </c>
      <c r="Q12" s="96">
        <v>17</v>
      </c>
      <c r="R12" s="97">
        <v>18</v>
      </c>
      <c r="S12" s="96">
        <v>19</v>
      </c>
      <c r="T12" s="96">
        <v>20</v>
      </c>
    </row>
    <row r="13" spans="1:20" ht="20.25" customHeight="1">
      <c r="A13" s="151">
        <v>1</v>
      </c>
      <c r="B13" s="152" t="s">
        <v>662</v>
      </c>
      <c r="C13" s="456" t="s">
        <v>663</v>
      </c>
      <c r="D13" s="152">
        <v>4</v>
      </c>
      <c r="E13" s="152">
        <v>1541.7</v>
      </c>
      <c r="F13" s="100"/>
      <c r="G13" s="100"/>
      <c r="H13" s="153">
        <f>F13*G13*3</f>
        <v>0</v>
      </c>
      <c r="I13" s="153"/>
      <c r="J13" s="153">
        <f>(F13-1)*G13*I13</f>
        <v>0</v>
      </c>
      <c r="K13" s="100"/>
      <c r="L13" s="153">
        <f>H13+J13+(K13*G13*2)</f>
        <v>0</v>
      </c>
      <c r="M13" s="100"/>
      <c r="N13" s="100"/>
      <c r="O13" s="153">
        <f>M13*N13*3</f>
        <v>0</v>
      </c>
      <c r="P13" s="153"/>
      <c r="Q13" s="153">
        <f>(M13-1)*N13*P13</f>
        <v>0</v>
      </c>
      <c r="R13" s="100"/>
      <c r="S13" s="153">
        <f>O13+Q13+(R13*N13*2)</f>
        <v>0</v>
      </c>
      <c r="T13" s="154">
        <f>S13-L13</f>
        <v>0</v>
      </c>
    </row>
    <row r="14" spans="1:20" ht="20.25" customHeight="1">
      <c r="A14" s="155">
        <v>2</v>
      </c>
      <c r="B14" s="156" t="s">
        <v>664</v>
      </c>
      <c r="C14" s="457" t="s">
        <v>665</v>
      </c>
      <c r="D14" s="152"/>
      <c r="E14" s="152"/>
      <c r="F14" s="100">
        <v>3</v>
      </c>
      <c r="G14" s="100">
        <v>3</v>
      </c>
      <c r="H14" s="153">
        <f>F14*G14*55072</f>
        <v>495648</v>
      </c>
      <c r="I14" s="153">
        <v>83426</v>
      </c>
      <c r="J14" s="153">
        <f aca="true" t="shared" si="0" ref="J14:J23">(F14-1)*G14*I14</f>
        <v>500556</v>
      </c>
      <c r="K14" s="100"/>
      <c r="L14" s="157">
        <f aca="true" t="shared" si="1" ref="L14:L23">H14+J14+(K14*G14*2)</f>
        <v>996204</v>
      </c>
      <c r="M14" s="100">
        <v>3</v>
      </c>
      <c r="N14" s="100">
        <v>3</v>
      </c>
      <c r="O14" s="153">
        <f>M14*N14*55072</f>
        <v>495648</v>
      </c>
      <c r="P14" s="153">
        <v>83426</v>
      </c>
      <c r="Q14" s="153">
        <f aca="true" t="shared" si="2" ref="Q14:Q23">(M14-1)*N14*P14</f>
        <v>500556</v>
      </c>
      <c r="R14" s="100"/>
      <c r="S14" s="157">
        <f aca="true" t="shared" si="3" ref="S14:S23">O14+Q14+(R14*N14*2)</f>
        <v>996204</v>
      </c>
      <c r="T14" s="154">
        <f>S14-L14</f>
        <v>0</v>
      </c>
    </row>
    <row r="15" spans="1:20" ht="20.25" customHeight="1">
      <c r="A15" s="155">
        <v>3</v>
      </c>
      <c r="B15" s="156" t="s">
        <v>666</v>
      </c>
      <c r="C15" s="457" t="s">
        <v>665</v>
      </c>
      <c r="D15" s="152"/>
      <c r="E15" s="152"/>
      <c r="F15" s="100">
        <v>2</v>
      </c>
      <c r="G15" s="100">
        <v>3</v>
      </c>
      <c r="H15" s="153">
        <f>F15*G15*51726</f>
        <v>310356</v>
      </c>
      <c r="I15" s="153">
        <v>63220</v>
      </c>
      <c r="J15" s="153">
        <f>(F15-1)*G15*I15</f>
        <v>189660</v>
      </c>
      <c r="K15" s="100"/>
      <c r="L15" s="157">
        <f t="shared" si="1"/>
        <v>500016</v>
      </c>
      <c r="M15" s="100">
        <v>2</v>
      </c>
      <c r="N15" s="100">
        <v>3</v>
      </c>
      <c r="O15" s="153">
        <f>M15*N15*51726</f>
        <v>310356</v>
      </c>
      <c r="P15" s="153">
        <v>63220</v>
      </c>
      <c r="Q15" s="153">
        <f t="shared" si="2"/>
        <v>189660</v>
      </c>
      <c r="R15" s="100"/>
      <c r="S15" s="157">
        <f>O15+Q15+(R15*N15*2)</f>
        <v>500016</v>
      </c>
      <c r="T15" s="154">
        <f>S15-L15</f>
        <v>0</v>
      </c>
    </row>
    <row r="16" spans="1:20" ht="20.25" customHeight="1">
      <c r="A16" s="155">
        <v>4</v>
      </c>
      <c r="B16" s="156" t="s">
        <v>667</v>
      </c>
      <c r="C16" s="457" t="s">
        <v>665</v>
      </c>
      <c r="D16" s="152"/>
      <c r="E16" s="152"/>
      <c r="F16" s="100">
        <v>2</v>
      </c>
      <c r="G16" s="100">
        <v>3</v>
      </c>
      <c r="H16" s="153">
        <f>F16*G16*62161</f>
        <v>372966</v>
      </c>
      <c r="I16" s="153">
        <v>62161</v>
      </c>
      <c r="J16" s="153">
        <f t="shared" si="0"/>
        <v>186483</v>
      </c>
      <c r="K16" s="100"/>
      <c r="L16" s="157">
        <f>H16+J16+(K16*G16*2)</f>
        <v>559449</v>
      </c>
      <c r="M16" s="100">
        <v>2</v>
      </c>
      <c r="N16" s="100">
        <v>3</v>
      </c>
      <c r="O16" s="153">
        <f>M16*N16*62161</f>
        <v>372966</v>
      </c>
      <c r="P16" s="153">
        <v>62161</v>
      </c>
      <c r="Q16" s="153">
        <f t="shared" si="2"/>
        <v>186483</v>
      </c>
      <c r="R16" s="100"/>
      <c r="S16" s="157">
        <f t="shared" si="3"/>
        <v>559449</v>
      </c>
      <c r="T16" s="154">
        <f aca="true" t="shared" si="4" ref="T16:T23">S16-L16</f>
        <v>0</v>
      </c>
    </row>
    <row r="17" spans="1:20" ht="20.25" customHeight="1">
      <c r="A17" s="155">
        <v>5</v>
      </c>
      <c r="B17" s="11" t="s">
        <v>668</v>
      </c>
      <c r="C17" s="457" t="s">
        <v>665</v>
      </c>
      <c r="D17" s="215"/>
      <c r="E17" s="215"/>
      <c r="F17" s="100">
        <v>3</v>
      </c>
      <c r="G17" s="100">
        <v>3</v>
      </c>
      <c r="H17" s="153">
        <f>F17*G17*63251</f>
        <v>569259</v>
      </c>
      <c r="I17" s="153">
        <v>87243</v>
      </c>
      <c r="J17" s="153">
        <f t="shared" si="0"/>
        <v>523458</v>
      </c>
      <c r="K17" s="100"/>
      <c r="L17" s="157">
        <f t="shared" si="1"/>
        <v>1092717</v>
      </c>
      <c r="M17" s="100">
        <v>3</v>
      </c>
      <c r="N17" s="100">
        <v>3</v>
      </c>
      <c r="O17" s="153">
        <f>M17*N17*63251</f>
        <v>569259</v>
      </c>
      <c r="P17" s="153">
        <v>87243</v>
      </c>
      <c r="Q17" s="153">
        <f t="shared" si="2"/>
        <v>523458</v>
      </c>
      <c r="R17" s="100"/>
      <c r="S17" s="157">
        <f t="shared" si="3"/>
        <v>1092717</v>
      </c>
      <c r="T17" s="154">
        <f t="shared" si="4"/>
        <v>0</v>
      </c>
    </row>
    <row r="18" spans="1:20" ht="20.25" customHeight="1">
      <c r="A18" s="155">
        <v>6</v>
      </c>
      <c r="B18" s="11" t="s">
        <v>669</v>
      </c>
      <c r="C18" s="457" t="s">
        <v>665</v>
      </c>
      <c r="D18" s="215"/>
      <c r="E18" s="215"/>
      <c r="F18" s="100">
        <v>3</v>
      </c>
      <c r="G18" s="100">
        <v>3</v>
      </c>
      <c r="H18" s="153">
        <f>F18*G18*69446</f>
        <v>625014</v>
      </c>
      <c r="I18" s="153">
        <v>134582</v>
      </c>
      <c r="J18" s="153">
        <f t="shared" si="0"/>
        <v>807492</v>
      </c>
      <c r="K18" s="100"/>
      <c r="L18" s="157">
        <f t="shared" si="1"/>
        <v>1432506</v>
      </c>
      <c r="M18" s="100">
        <v>3</v>
      </c>
      <c r="N18" s="100">
        <v>3</v>
      </c>
      <c r="O18" s="153">
        <f>M18*N18*69446</f>
        <v>625014</v>
      </c>
      <c r="P18" s="153">
        <v>134582</v>
      </c>
      <c r="Q18" s="153">
        <f t="shared" si="2"/>
        <v>807492</v>
      </c>
      <c r="R18" s="100"/>
      <c r="S18" s="157">
        <f t="shared" si="3"/>
        <v>1432506</v>
      </c>
      <c r="T18" s="154">
        <f t="shared" si="4"/>
        <v>0</v>
      </c>
    </row>
    <row r="19" spans="1:20" ht="20.25" customHeight="1">
      <c r="A19" s="155">
        <v>7</v>
      </c>
      <c r="B19" s="11" t="s">
        <v>670</v>
      </c>
      <c r="C19" s="457" t="s">
        <v>665</v>
      </c>
      <c r="D19" s="215"/>
      <c r="E19" s="215"/>
      <c r="F19" s="100">
        <v>3</v>
      </c>
      <c r="G19" s="100">
        <v>3</v>
      </c>
      <c r="H19" s="153">
        <f>F19*G19*42626</f>
        <v>383634</v>
      </c>
      <c r="I19" s="153">
        <v>75673</v>
      </c>
      <c r="J19" s="153">
        <f t="shared" si="0"/>
        <v>454038</v>
      </c>
      <c r="K19" s="100"/>
      <c r="L19" s="157">
        <f t="shared" si="1"/>
        <v>837672</v>
      </c>
      <c r="M19" s="100">
        <v>3</v>
      </c>
      <c r="N19" s="100">
        <v>3</v>
      </c>
      <c r="O19" s="153">
        <f>M19*N19*42626</f>
        <v>383634</v>
      </c>
      <c r="P19" s="153">
        <v>75673</v>
      </c>
      <c r="Q19" s="153">
        <f t="shared" si="2"/>
        <v>454038</v>
      </c>
      <c r="R19" s="100"/>
      <c r="S19" s="157">
        <f t="shared" si="3"/>
        <v>837672</v>
      </c>
      <c r="T19" s="154">
        <f t="shared" si="4"/>
        <v>0</v>
      </c>
    </row>
    <row r="20" spans="1:20" ht="20.25" customHeight="1">
      <c r="A20" s="155">
        <v>8</v>
      </c>
      <c r="B20" s="11" t="s">
        <v>671</v>
      </c>
      <c r="C20" s="457" t="s">
        <v>665</v>
      </c>
      <c r="D20" s="215"/>
      <c r="E20" s="215"/>
      <c r="F20" s="100">
        <v>6</v>
      </c>
      <c r="G20" s="100">
        <v>3</v>
      </c>
      <c r="H20" s="153">
        <f>F20*G20*81899</f>
        <v>1474182</v>
      </c>
      <c r="I20" s="153">
        <v>145598</v>
      </c>
      <c r="J20" s="153">
        <f t="shared" si="0"/>
        <v>2183970</v>
      </c>
      <c r="K20" s="100"/>
      <c r="L20" s="157">
        <f t="shared" si="1"/>
        <v>3658152</v>
      </c>
      <c r="M20" s="100">
        <v>6</v>
      </c>
      <c r="N20" s="100">
        <v>3</v>
      </c>
      <c r="O20" s="153">
        <f>M20*N20*81899</f>
        <v>1474182</v>
      </c>
      <c r="P20" s="153">
        <v>145598</v>
      </c>
      <c r="Q20" s="153">
        <f t="shared" si="2"/>
        <v>2183970</v>
      </c>
      <c r="R20" s="100"/>
      <c r="S20" s="157">
        <f t="shared" si="3"/>
        <v>3658152</v>
      </c>
      <c r="T20" s="154">
        <f t="shared" si="4"/>
        <v>0</v>
      </c>
    </row>
    <row r="21" spans="1:20" ht="25.5" customHeight="1">
      <c r="A21" s="155">
        <v>9</v>
      </c>
      <c r="B21" s="11" t="s">
        <v>672</v>
      </c>
      <c r="C21" s="457" t="s">
        <v>665</v>
      </c>
      <c r="D21" s="215"/>
      <c r="E21" s="215"/>
      <c r="F21" s="100">
        <v>3</v>
      </c>
      <c r="G21" s="100">
        <v>3</v>
      </c>
      <c r="H21" s="153">
        <f>F21*G21*41668</f>
        <v>375012</v>
      </c>
      <c r="I21" s="153">
        <v>45020</v>
      </c>
      <c r="J21" s="153">
        <f t="shared" si="0"/>
        <v>270120</v>
      </c>
      <c r="K21" s="100"/>
      <c r="L21" s="157">
        <f t="shared" si="1"/>
        <v>645132</v>
      </c>
      <c r="M21" s="100">
        <v>3</v>
      </c>
      <c r="N21" s="100">
        <v>3</v>
      </c>
      <c r="O21" s="153">
        <f>M21*N21*41668</f>
        <v>375012</v>
      </c>
      <c r="P21" s="153">
        <v>45020</v>
      </c>
      <c r="Q21" s="153">
        <f t="shared" si="2"/>
        <v>270120</v>
      </c>
      <c r="R21" s="100"/>
      <c r="S21" s="157">
        <f t="shared" si="3"/>
        <v>645132</v>
      </c>
      <c r="T21" s="154">
        <f t="shared" si="4"/>
        <v>0</v>
      </c>
    </row>
    <row r="22" spans="1:20" ht="15" customHeight="1">
      <c r="A22" s="155">
        <v>10</v>
      </c>
      <c r="B22" s="11" t="s">
        <v>673</v>
      </c>
      <c r="C22" s="457" t="s">
        <v>665</v>
      </c>
      <c r="D22" s="215"/>
      <c r="E22" s="215"/>
      <c r="F22" s="100">
        <v>3</v>
      </c>
      <c r="G22" s="100">
        <v>3</v>
      </c>
      <c r="H22" s="153">
        <f>F22*G22*69446</f>
        <v>625014</v>
      </c>
      <c r="I22" s="153">
        <v>104409</v>
      </c>
      <c r="J22" s="153">
        <f t="shared" si="0"/>
        <v>626454</v>
      </c>
      <c r="K22" s="100"/>
      <c r="L22" s="157">
        <f t="shared" si="1"/>
        <v>1251468</v>
      </c>
      <c r="M22" s="100">
        <v>3</v>
      </c>
      <c r="N22" s="100">
        <v>3</v>
      </c>
      <c r="O22" s="153">
        <f>M22*N22*69446</f>
        <v>625014</v>
      </c>
      <c r="P22" s="153">
        <v>104409</v>
      </c>
      <c r="Q22" s="153">
        <f t="shared" si="2"/>
        <v>626454</v>
      </c>
      <c r="R22" s="100"/>
      <c r="S22" s="157">
        <f t="shared" si="3"/>
        <v>1251468</v>
      </c>
      <c r="T22" s="154">
        <f t="shared" si="4"/>
        <v>0</v>
      </c>
    </row>
    <row r="23" spans="1:20" ht="16.5" customHeight="1" thickBot="1">
      <c r="A23" s="158">
        <v>11</v>
      </c>
      <c r="B23" s="159" t="s">
        <v>674</v>
      </c>
      <c r="C23" s="457" t="s">
        <v>665</v>
      </c>
      <c r="D23" s="216"/>
      <c r="E23" s="216"/>
      <c r="F23" s="100">
        <v>3</v>
      </c>
      <c r="G23" s="100">
        <v>3</v>
      </c>
      <c r="H23" s="153">
        <f>F23*G23*62741</f>
        <v>564669</v>
      </c>
      <c r="I23" s="153">
        <v>77109</v>
      </c>
      <c r="J23" s="153">
        <f t="shared" si="0"/>
        <v>462654</v>
      </c>
      <c r="K23" s="100"/>
      <c r="L23" s="157">
        <f t="shared" si="1"/>
        <v>1027323</v>
      </c>
      <c r="M23" s="100">
        <v>3</v>
      </c>
      <c r="N23" s="100">
        <v>3</v>
      </c>
      <c r="O23" s="153">
        <f>M23*N23*62741</f>
        <v>564669</v>
      </c>
      <c r="P23" s="153">
        <v>77109</v>
      </c>
      <c r="Q23" s="153">
        <f t="shared" si="2"/>
        <v>462654</v>
      </c>
      <c r="R23" s="100"/>
      <c r="S23" s="157">
        <f t="shared" si="3"/>
        <v>1027323</v>
      </c>
      <c r="T23" s="154">
        <f t="shared" si="4"/>
        <v>0</v>
      </c>
    </row>
    <row r="24" spans="1:20" ht="18" customHeight="1" thickBot="1">
      <c r="A24" s="160"/>
      <c r="B24" s="161" t="s">
        <v>94</v>
      </c>
      <c r="C24" s="161"/>
      <c r="D24" s="161"/>
      <c r="E24" s="161"/>
      <c r="F24" s="162"/>
      <c r="G24" s="162"/>
      <c r="H24" s="163">
        <f>SUM(H13:H23)</f>
        <v>5795754</v>
      </c>
      <c r="I24" s="163"/>
      <c r="J24" s="163">
        <f>SUM(J13:J23)</f>
        <v>6204885</v>
      </c>
      <c r="K24" s="163"/>
      <c r="L24" s="163">
        <f>SUM(L13:L23)</f>
        <v>12000639</v>
      </c>
      <c r="M24" s="162"/>
      <c r="N24" s="162"/>
      <c r="O24" s="163">
        <f>SUM(O13:O23)</f>
        <v>5795754</v>
      </c>
      <c r="P24" s="163"/>
      <c r="Q24" s="163">
        <f>SUM(Q13:Q23)</f>
        <v>6204885</v>
      </c>
      <c r="R24" s="163"/>
      <c r="S24" s="163">
        <f>SUM(S13:S23)</f>
        <v>12000639</v>
      </c>
      <c r="T24" s="164">
        <f>SUM(T13:T23)</f>
        <v>0</v>
      </c>
    </row>
    <row r="25" spans="2:19" ht="10.5" customHeight="1">
      <c r="B25" s="165"/>
      <c r="C25" s="165"/>
      <c r="D25" s="165"/>
      <c r="E25" s="165"/>
      <c r="F25" s="166"/>
      <c r="G25" s="167"/>
      <c r="H25" s="167"/>
      <c r="I25" s="167"/>
      <c r="J25" s="167"/>
      <c r="K25" s="167"/>
      <c r="L25" s="167"/>
      <c r="M25" s="166"/>
      <c r="N25" s="167"/>
      <c r="O25" s="167"/>
      <c r="P25" s="167"/>
      <c r="Q25" s="167"/>
      <c r="R25" s="167"/>
      <c r="S25" s="167"/>
    </row>
  </sheetData>
  <sheetProtection/>
  <mergeCells count="14">
    <mergeCell ref="V1:X1"/>
    <mergeCell ref="T1:U1"/>
    <mergeCell ref="Q2:S2"/>
    <mergeCell ref="F9:L9"/>
    <mergeCell ref="B4:L4"/>
    <mergeCell ref="B6:L6"/>
    <mergeCell ref="I10:J10"/>
    <mergeCell ref="D9:E9"/>
    <mergeCell ref="M9:S9"/>
    <mergeCell ref="P10:Q10"/>
    <mergeCell ref="V2:X2"/>
    <mergeCell ref="T2:U2"/>
    <mergeCell ref="B3:F3"/>
    <mergeCell ref="S8:T8"/>
  </mergeCells>
  <printOptions/>
  <pageMargins left="0.33" right="0.24" top="0.29" bottom="0.25" header="0.22" footer="0.17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1">
      <selection activeCell="G25" sqref="G25"/>
    </sheetView>
  </sheetViews>
  <sheetFormatPr defaultColWidth="9.140625" defaultRowHeight="12.75"/>
  <cols>
    <col min="1" max="1" width="4.8515625" style="5" customWidth="1"/>
    <col min="2" max="2" width="32.7109375" style="5" customWidth="1"/>
    <col min="3" max="3" width="10.140625" style="5" customWidth="1"/>
    <col min="4" max="4" width="11.421875" style="5" customWidth="1"/>
    <col min="5" max="5" width="9.140625" style="5" customWidth="1"/>
    <col min="6" max="6" width="12.57421875" style="5" customWidth="1"/>
    <col min="7" max="7" width="19.7109375" style="5" customWidth="1"/>
    <col min="8" max="8" width="8.7109375" style="5" customWidth="1"/>
    <col min="9" max="9" width="9.140625" style="5" customWidth="1"/>
    <col min="10" max="10" width="11.00390625" style="5" customWidth="1"/>
    <col min="11" max="11" width="8.7109375" style="5" customWidth="1"/>
    <col min="12" max="12" width="9.140625" style="5" customWidth="1"/>
    <col min="13" max="13" width="11.00390625" style="5" customWidth="1"/>
    <col min="14" max="16384" width="9.140625" style="5" customWidth="1"/>
  </cols>
  <sheetData>
    <row r="1" spans="1:16" ht="15">
      <c r="A1" s="289"/>
      <c r="B1" s="286"/>
      <c r="C1" s="286"/>
      <c r="D1" s="290"/>
      <c r="E1" s="286"/>
      <c r="F1" s="291"/>
      <c r="G1" s="291"/>
      <c r="H1" s="30"/>
      <c r="I1" s="120" t="s">
        <v>127</v>
      </c>
      <c r="J1" s="3"/>
      <c r="K1" s="120"/>
      <c r="L1" s="120"/>
      <c r="M1" s="30"/>
      <c r="N1" s="4"/>
      <c r="O1" s="4"/>
      <c r="P1" s="4"/>
    </row>
    <row r="2" spans="1:16" ht="12.75" customHeight="1">
      <c r="A2" s="289"/>
      <c r="B2" s="286"/>
      <c r="C2" s="286"/>
      <c r="D2" s="290"/>
      <c r="E2" s="286"/>
      <c r="F2" s="291"/>
      <c r="G2" s="291"/>
      <c r="H2" s="481" t="s">
        <v>9</v>
      </c>
      <c r="I2" s="481"/>
      <c r="J2" s="481"/>
      <c r="K2" s="120"/>
      <c r="L2" s="120"/>
      <c r="M2" s="120"/>
      <c r="N2" s="4"/>
      <c r="O2" s="4"/>
      <c r="P2" s="4"/>
    </row>
    <row r="3" spans="1:13" ht="15" thickBot="1">
      <c r="A3" s="30"/>
      <c r="B3" s="292"/>
      <c r="C3" s="293"/>
      <c r="D3" s="293"/>
      <c r="E3" s="248"/>
      <c r="F3" s="294"/>
      <c r="G3" s="295"/>
      <c r="H3" s="31"/>
      <c r="I3" s="31"/>
      <c r="J3" s="31"/>
      <c r="K3" s="31"/>
      <c r="L3" s="31"/>
      <c r="M3" s="31"/>
    </row>
    <row r="4" spans="1:13" s="172" customFormat="1" ht="17.25" customHeight="1">
      <c r="A4" s="30"/>
      <c r="B4" s="296" t="s">
        <v>10</v>
      </c>
      <c r="C4" s="296"/>
      <c r="D4" s="296"/>
      <c r="E4" s="297"/>
      <c r="F4" s="297"/>
      <c r="G4" s="39"/>
      <c r="H4" s="171"/>
      <c r="I4" s="171"/>
      <c r="J4" s="171"/>
      <c r="K4" s="171"/>
      <c r="L4" s="171"/>
      <c r="M4" s="171"/>
    </row>
    <row r="5" spans="1:13" s="174" customFormat="1" ht="26.25" customHeight="1">
      <c r="A5" s="133" t="s">
        <v>128</v>
      </c>
      <c r="B5" s="133"/>
      <c r="C5" s="133"/>
      <c r="D5" s="133"/>
      <c r="E5" s="133"/>
      <c r="F5" s="133"/>
      <c r="G5" s="133"/>
      <c r="H5" s="300"/>
      <c r="I5" s="300"/>
      <c r="J5" s="300"/>
      <c r="K5" s="300"/>
      <c r="L5" s="300"/>
      <c r="M5" s="300"/>
    </row>
    <row r="6" spans="1:13" s="174" customFormat="1" ht="15">
      <c r="A6" s="133" t="s">
        <v>179</v>
      </c>
      <c r="B6" s="133"/>
      <c r="C6" s="133"/>
      <c r="D6" s="133"/>
      <c r="E6" s="133"/>
      <c r="F6" s="133"/>
      <c r="G6" s="133"/>
      <c r="H6" s="300"/>
      <c r="I6" s="300"/>
      <c r="J6" s="300"/>
      <c r="K6" s="300"/>
      <c r="L6" s="300"/>
      <c r="M6" s="300"/>
    </row>
    <row r="7" spans="1:13" s="31" customFormat="1" ht="21" customHeight="1">
      <c r="A7" s="133"/>
      <c r="B7" s="133" t="s">
        <v>650</v>
      </c>
      <c r="C7" s="133"/>
      <c r="D7" s="133"/>
      <c r="E7" s="133"/>
      <c r="F7" s="133"/>
      <c r="G7" s="133"/>
      <c r="H7" s="300"/>
      <c r="I7" s="300">
        <v>15</v>
      </c>
      <c r="J7" s="300"/>
      <c r="K7" s="300"/>
      <c r="L7" s="300"/>
      <c r="M7" s="300"/>
    </row>
    <row r="8" spans="1:13" s="31" customFormat="1" ht="26.25" customHeight="1" thickBot="1">
      <c r="A8" s="133"/>
      <c r="B8" s="301" t="s">
        <v>201</v>
      </c>
      <c r="C8" s="133"/>
      <c r="D8" s="133"/>
      <c r="E8" s="133"/>
      <c r="F8" s="133"/>
      <c r="G8" s="133"/>
      <c r="H8" s="300"/>
      <c r="I8" s="300"/>
      <c r="J8" s="300"/>
      <c r="K8" s="300"/>
      <c r="L8" s="300"/>
      <c r="M8" s="300"/>
    </row>
    <row r="9" spans="1:13" s="99" customFormat="1" ht="27" customHeight="1" thickBot="1">
      <c r="A9" s="178"/>
      <c r="B9" s="179"/>
      <c r="C9" s="314" t="s">
        <v>202</v>
      </c>
      <c r="D9" s="298"/>
      <c r="E9" s="298"/>
      <c r="F9" s="298"/>
      <c r="G9" s="299"/>
      <c r="H9" s="498" t="s">
        <v>260</v>
      </c>
      <c r="I9" s="499"/>
      <c r="J9" s="500"/>
      <c r="K9" s="498" t="s">
        <v>254</v>
      </c>
      <c r="L9" s="499"/>
      <c r="M9" s="500"/>
    </row>
    <row r="10" spans="1:13" s="184" customFormat="1" ht="72" thickBot="1">
      <c r="A10" s="180" t="s">
        <v>95</v>
      </c>
      <c r="B10" s="180" t="s">
        <v>142</v>
      </c>
      <c r="C10" s="181" t="s">
        <v>143</v>
      </c>
      <c r="D10" s="182" t="s">
        <v>144</v>
      </c>
      <c r="E10" s="182" t="s">
        <v>273</v>
      </c>
      <c r="F10" s="182" t="s">
        <v>145</v>
      </c>
      <c r="G10" s="182" t="s">
        <v>172</v>
      </c>
      <c r="H10" s="182" t="s">
        <v>146</v>
      </c>
      <c r="I10" s="182" t="s">
        <v>147</v>
      </c>
      <c r="J10" s="183" t="s">
        <v>148</v>
      </c>
      <c r="K10" s="182" t="s">
        <v>146</v>
      </c>
      <c r="L10" s="182" t="s">
        <v>147</v>
      </c>
      <c r="M10" s="183" t="s">
        <v>148</v>
      </c>
    </row>
    <row r="11" spans="1:13" s="186" customFormat="1" ht="12.75">
      <c r="A11" s="185">
        <v>1</v>
      </c>
      <c r="B11" s="185">
        <v>2</v>
      </c>
      <c r="C11" s="185">
        <v>3</v>
      </c>
      <c r="D11" s="185">
        <v>4</v>
      </c>
      <c r="E11" s="185">
        <v>5</v>
      </c>
      <c r="F11" s="185">
        <v>6</v>
      </c>
      <c r="G11" s="185">
        <v>7</v>
      </c>
      <c r="H11" s="185">
        <v>8</v>
      </c>
      <c r="I11" s="185">
        <v>9</v>
      </c>
      <c r="J11" s="185">
        <v>10</v>
      </c>
      <c r="K11" s="185">
        <v>11</v>
      </c>
      <c r="L11" s="185">
        <v>12</v>
      </c>
      <c r="M11" s="185">
        <v>13</v>
      </c>
    </row>
    <row r="12" spans="1:13" ht="30">
      <c r="A12" s="124"/>
      <c r="B12" s="187" t="s">
        <v>651</v>
      </c>
      <c r="C12" s="126" t="s">
        <v>1</v>
      </c>
      <c r="D12" s="126" t="s">
        <v>1</v>
      </c>
      <c r="E12" s="302">
        <v>2023</v>
      </c>
      <c r="F12" s="338">
        <v>0.12</v>
      </c>
      <c r="G12" s="126" t="s">
        <v>1</v>
      </c>
      <c r="H12" s="126" t="s">
        <v>1</v>
      </c>
      <c r="I12" s="126" t="s">
        <v>1</v>
      </c>
      <c r="J12" s="126" t="s">
        <v>1</v>
      </c>
      <c r="K12" s="126" t="s">
        <v>1</v>
      </c>
      <c r="L12" s="126" t="s">
        <v>1</v>
      </c>
      <c r="M12" s="126" t="s">
        <v>1</v>
      </c>
    </row>
    <row r="13" spans="1:13" ht="13.5" customHeight="1">
      <c r="A13" s="124"/>
      <c r="B13" s="188" t="s">
        <v>149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1:13" ht="15">
      <c r="A14" s="68">
        <v>1</v>
      </c>
      <c r="B14" s="101" t="s">
        <v>652</v>
      </c>
      <c r="C14" s="101">
        <v>2007</v>
      </c>
      <c r="D14" s="101">
        <v>6040</v>
      </c>
      <c r="E14" s="101">
        <f>IF(($E$12-C14)*12&gt;100,100,($E$12-C14)*12)</f>
        <v>100</v>
      </c>
      <c r="F14" s="72">
        <f aca="true" t="shared" si="0" ref="F14:F28">IF(E14=100,0,D14-D14*E14%)</f>
        <v>0</v>
      </c>
      <c r="G14" s="458" t="s">
        <v>679</v>
      </c>
      <c r="H14" s="101"/>
      <c r="I14" s="101"/>
      <c r="J14" s="72">
        <f>H14*I14</f>
        <v>0</v>
      </c>
      <c r="K14" s="101"/>
      <c r="L14" s="101"/>
      <c r="M14" s="72">
        <f>K14*L14</f>
        <v>0</v>
      </c>
    </row>
    <row r="15" spans="1:13" ht="15">
      <c r="A15" s="68">
        <v>2</v>
      </c>
      <c r="B15" s="101" t="s">
        <v>653</v>
      </c>
      <c r="C15" s="101">
        <v>2008</v>
      </c>
      <c r="D15" s="101">
        <v>6350</v>
      </c>
      <c r="E15" s="101">
        <f aca="true" t="shared" si="1" ref="E15:E28">IF(($E$12-C15)*12&gt;100,100,($E$12-C15)*12)</f>
        <v>100</v>
      </c>
      <c r="F15" s="72">
        <f t="shared" si="0"/>
        <v>0</v>
      </c>
      <c r="G15" s="458" t="s">
        <v>680</v>
      </c>
      <c r="H15" s="101"/>
      <c r="I15" s="101"/>
      <c r="J15" s="72">
        <f aca="true" t="shared" si="2" ref="J15:J28">H15*I15</f>
        <v>0</v>
      </c>
      <c r="K15" s="101"/>
      <c r="L15" s="101"/>
      <c r="M15" s="72">
        <f aca="true" t="shared" si="3" ref="M15:M28">K15*L15</f>
        <v>0</v>
      </c>
    </row>
    <row r="16" spans="1:13" ht="15">
      <c r="A16" s="68">
        <v>3</v>
      </c>
      <c r="B16" s="101" t="s">
        <v>653</v>
      </c>
      <c r="C16" s="101">
        <v>2008</v>
      </c>
      <c r="D16" s="101">
        <v>6350</v>
      </c>
      <c r="E16" s="101">
        <f t="shared" si="1"/>
        <v>100</v>
      </c>
      <c r="F16" s="72">
        <f t="shared" si="0"/>
        <v>0</v>
      </c>
      <c r="G16" s="458" t="s">
        <v>654</v>
      </c>
      <c r="H16" s="101"/>
      <c r="I16" s="101"/>
      <c r="J16" s="72">
        <f t="shared" si="2"/>
        <v>0</v>
      </c>
      <c r="K16" s="101"/>
      <c r="L16" s="101"/>
      <c r="M16" s="72">
        <f t="shared" si="3"/>
        <v>0</v>
      </c>
    </row>
    <row r="17" spans="1:13" ht="15">
      <c r="A17" s="124">
        <v>4</v>
      </c>
      <c r="B17" s="101" t="s">
        <v>653</v>
      </c>
      <c r="C17" s="101">
        <v>2008</v>
      </c>
      <c r="D17" s="101">
        <v>6350</v>
      </c>
      <c r="E17" s="101">
        <f t="shared" si="1"/>
        <v>100</v>
      </c>
      <c r="F17" s="72">
        <f t="shared" si="0"/>
        <v>0</v>
      </c>
      <c r="G17" s="458" t="s">
        <v>654</v>
      </c>
      <c r="H17" s="101"/>
      <c r="I17" s="101"/>
      <c r="J17" s="72">
        <f t="shared" si="2"/>
        <v>0</v>
      </c>
      <c r="K17" s="101"/>
      <c r="L17" s="101"/>
      <c r="M17" s="72">
        <f t="shared" si="3"/>
        <v>0</v>
      </c>
    </row>
    <row r="18" spans="1:13" ht="15">
      <c r="A18" s="124">
        <v>5</v>
      </c>
      <c r="B18" s="101" t="s">
        <v>655</v>
      </c>
      <c r="C18" s="101">
        <v>2007</v>
      </c>
      <c r="D18" s="101">
        <v>26245</v>
      </c>
      <c r="E18" s="101">
        <f t="shared" si="1"/>
        <v>100</v>
      </c>
      <c r="F18" s="72">
        <f t="shared" si="0"/>
        <v>0</v>
      </c>
      <c r="G18" s="458" t="s">
        <v>392</v>
      </c>
      <c r="H18" s="101"/>
      <c r="I18" s="101"/>
      <c r="J18" s="72">
        <f t="shared" si="2"/>
        <v>0</v>
      </c>
      <c r="K18" s="101"/>
      <c r="L18" s="101"/>
      <c r="M18" s="72">
        <f t="shared" si="3"/>
        <v>0</v>
      </c>
    </row>
    <row r="19" spans="1:13" ht="15">
      <c r="A19" s="124">
        <v>6</v>
      </c>
      <c r="B19" s="101" t="s">
        <v>656</v>
      </c>
      <c r="C19" s="101">
        <v>2011</v>
      </c>
      <c r="D19" s="101">
        <v>6350</v>
      </c>
      <c r="E19" s="101">
        <f t="shared" si="1"/>
        <v>100</v>
      </c>
      <c r="F19" s="72">
        <f t="shared" si="0"/>
        <v>0</v>
      </c>
      <c r="G19" s="458" t="s">
        <v>681</v>
      </c>
      <c r="H19" s="101"/>
      <c r="I19" s="101"/>
      <c r="J19" s="72">
        <f t="shared" si="2"/>
        <v>0</v>
      </c>
      <c r="K19" s="101"/>
      <c r="L19" s="101"/>
      <c r="M19" s="72">
        <f t="shared" si="3"/>
        <v>0</v>
      </c>
    </row>
    <row r="20" spans="1:13" ht="15">
      <c r="A20" s="124">
        <v>7</v>
      </c>
      <c r="B20" s="101" t="s">
        <v>656</v>
      </c>
      <c r="C20" s="101">
        <v>2011</v>
      </c>
      <c r="D20" s="101">
        <v>6350</v>
      </c>
      <c r="E20" s="101">
        <f t="shared" si="1"/>
        <v>100</v>
      </c>
      <c r="F20" s="72">
        <f t="shared" si="0"/>
        <v>0</v>
      </c>
      <c r="G20" s="458" t="s">
        <v>681</v>
      </c>
      <c r="H20" s="101"/>
      <c r="I20" s="101"/>
      <c r="J20" s="72">
        <f t="shared" si="2"/>
        <v>0</v>
      </c>
      <c r="K20" s="101"/>
      <c r="L20" s="101"/>
      <c r="M20" s="72">
        <f t="shared" si="3"/>
        <v>0</v>
      </c>
    </row>
    <row r="21" spans="1:13" ht="15">
      <c r="A21" s="124">
        <v>8</v>
      </c>
      <c r="B21" s="101" t="s">
        <v>656</v>
      </c>
      <c r="C21" s="101">
        <v>2011</v>
      </c>
      <c r="D21" s="101">
        <v>6350</v>
      </c>
      <c r="E21" s="101">
        <f t="shared" si="1"/>
        <v>100</v>
      </c>
      <c r="F21" s="72">
        <f t="shared" si="0"/>
        <v>0</v>
      </c>
      <c r="G21" s="458" t="s">
        <v>681</v>
      </c>
      <c r="H21" s="101"/>
      <c r="I21" s="101"/>
      <c r="J21" s="72">
        <f t="shared" si="2"/>
        <v>0</v>
      </c>
      <c r="K21" s="101"/>
      <c r="L21" s="101"/>
      <c r="M21" s="72">
        <f t="shared" si="3"/>
        <v>0</v>
      </c>
    </row>
    <row r="22" spans="1:13" ht="15">
      <c r="A22" s="124">
        <v>9</v>
      </c>
      <c r="B22" s="101" t="s">
        <v>656</v>
      </c>
      <c r="C22" s="101">
        <v>2011</v>
      </c>
      <c r="D22" s="101">
        <v>6350</v>
      </c>
      <c r="E22" s="101">
        <f t="shared" si="1"/>
        <v>100</v>
      </c>
      <c r="F22" s="72">
        <f t="shared" si="0"/>
        <v>0</v>
      </c>
      <c r="G22" s="458" t="s">
        <v>681</v>
      </c>
      <c r="H22" s="101"/>
      <c r="I22" s="101"/>
      <c r="J22" s="72">
        <f t="shared" si="2"/>
        <v>0</v>
      </c>
      <c r="K22" s="101"/>
      <c r="L22" s="101"/>
      <c r="M22" s="72">
        <f t="shared" si="3"/>
        <v>0</v>
      </c>
    </row>
    <row r="23" spans="1:13" ht="15">
      <c r="A23" s="124">
        <v>10</v>
      </c>
      <c r="B23" s="101" t="s">
        <v>657</v>
      </c>
      <c r="C23" s="101">
        <v>2011</v>
      </c>
      <c r="D23" s="101">
        <v>8000</v>
      </c>
      <c r="E23" s="101">
        <f t="shared" si="1"/>
        <v>100</v>
      </c>
      <c r="F23" s="72">
        <f t="shared" si="0"/>
        <v>0</v>
      </c>
      <c r="G23" s="458" t="s">
        <v>679</v>
      </c>
      <c r="H23" s="101"/>
      <c r="I23" s="101"/>
      <c r="J23" s="72">
        <f t="shared" si="2"/>
        <v>0</v>
      </c>
      <c r="K23" s="101"/>
      <c r="L23" s="101"/>
      <c r="M23" s="72">
        <f t="shared" si="3"/>
        <v>0</v>
      </c>
    </row>
    <row r="24" spans="1:13" ht="15">
      <c r="A24" s="124">
        <v>11</v>
      </c>
      <c r="B24" s="101" t="s">
        <v>658</v>
      </c>
      <c r="C24" s="101">
        <v>2014</v>
      </c>
      <c r="D24" s="101">
        <v>13000</v>
      </c>
      <c r="E24" s="101">
        <f t="shared" si="1"/>
        <v>100</v>
      </c>
      <c r="F24" s="72">
        <f t="shared" si="0"/>
        <v>0</v>
      </c>
      <c r="G24" s="458" t="s">
        <v>681</v>
      </c>
      <c r="H24" s="101"/>
      <c r="I24" s="101"/>
      <c r="J24" s="72">
        <f t="shared" si="2"/>
        <v>0</v>
      </c>
      <c r="K24" s="101"/>
      <c r="L24" s="101"/>
      <c r="M24" s="72">
        <f t="shared" si="3"/>
        <v>0</v>
      </c>
    </row>
    <row r="25" spans="1:13" ht="15">
      <c r="A25" s="124">
        <v>12</v>
      </c>
      <c r="B25" s="101" t="s">
        <v>658</v>
      </c>
      <c r="C25" s="101">
        <v>2014</v>
      </c>
      <c r="D25" s="101">
        <v>13000</v>
      </c>
      <c r="E25" s="101">
        <f t="shared" si="1"/>
        <v>100</v>
      </c>
      <c r="F25" s="72">
        <f t="shared" si="0"/>
        <v>0</v>
      </c>
      <c r="G25" s="458" t="s">
        <v>681</v>
      </c>
      <c r="H25" s="101"/>
      <c r="I25" s="101"/>
      <c r="J25" s="72">
        <f t="shared" si="2"/>
        <v>0</v>
      </c>
      <c r="K25" s="101"/>
      <c r="L25" s="101"/>
      <c r="M25" s="72">
        <f t="shared" si="3"/>
        <v>0</v>
      </c>
    </row>
    <row r="26" spans="1:13" ht="15">
      <c r="A26" s="124">
        <v>13</v>
      </c>
      <c r="B26" s="101" t="s">
        <v>659</v>
      </c>
      <c r="C26" s="101">
        <v>2011</v>
      </c>
      <c r="D26" s="101">
        <v>10000</v>
      </c>
      <c r="E26" s="101">
        <f t="shared" si="1"/>
        <v>100</v>
      </c>
      <c r="F26" s="72">
        <f t="shared" si="0"/>
        <v>0</v>
      </c>
      <c r="G26" s="458" t="s">
        <v>681</v>
      </c>
      <c r="H26" s="101"/>
      <c r="I26" s="101"/>
      <c r="J26" s="72">
        <f t="shared" si="2"/>
        <v>0</v>
      </c>
      <c r="K26" s="101"/>
      <c r="L26" s="101"/>
      <c r="M26" s="72">
        <f t="shared" si="3"/>
        <v>0</v>
      </c>
    </row>
    <row r="27" spans="1:13" ht="15">
      <c r="A27" s="124">
        <v>14</v>
      </c>
      <c r="B27" s="101" t="s">
        <v>659</v>
      </c>
      <c r="C27" s="101">
        <v>2013</v>
      </c>
      <c r="D27" s="101">
        <v>10000</v>
      </c>
      <c r="E27" s="101">
        <f t="shared" si="1"/>
        <v>100</v>
      </c>
      <c r="F27" s="72">
        <f t="shared" si="0"/>
        <v>0</v>
      </c>
      <c r="G27" s="458" t="s">
        <v>681</v>
      </c>
      <c r="H27" s="101"/>
      <c r="I27" s="101"/>
      <c r="J27" s="72">
        <f t="shared" si="2"/>
        <v>0</v>
      </c>
      <c r="K27" s="101"/>
      <c r="L27" s="101"/>
      <c r="M27" s="72">
        <f t="shared" si="3"/>
        <v>0</v>
      </c>
    </row>
    <row r="28" spans="1:13" ht="15">
      <c r="A28" s="124">
        <v>15</v>
      </c>
      <c r="B28" s="101" t="s">
        <v>660</v>
      </c>
      <c r="C28" s="101">
        <v>2012</v>
      </c>
      <c r="D28" s="101">
        <v>10000</v>
      </c>
      <c r="E28" s="101">
        <f t="shared" si="1"/>
        <v>100</v>
      </c>
      <c r="F28" s="72">
        <f t="shared" si="0"/>
        <v>0</v>
      </c>
      <c r="G28" s="458" t="s">
        <v>682</v>
      </c>
      <c r="H28" s="101"/>
      <c r="I28" s="101"/>
      <c r="J28" s="72">
        <f t="shared" si="2"/>
        <v>0</v>
      </c>
      <c r="K28" s="101"/>
      <c r="L28" s="101"/>
      <c r="M28" s="72">
        <f t="shared" si="3"/>
        <v>0</v>
      </c>
    </row>
    <row r="34" spans="1:2" ht="15">
      <c r="A34" s="393" t="s">
        <v>6</v>
      </c>
      <c r="B34" s="394" t="s">
        <v>274</v>
      </c>
    </row>
  </sheetData>
  <sheetProtection/>
  <mergeCells count="3">
    <mergeCell ref="H9:J9"/>
    <mergeCell ref="K9:M9"/>
    <mergeCell ref="H2:J2"/>
  </mergeCells>
  <printOptions/>
  <pageMargins left="0.41" right="0.18" top="0.48" bottom="0.27" header="0.17" footer="0.19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R347"/>
  <sheetViews>
    <sheetView zoomScalePageLayoutView="0" workbookViewId="0" topLeftCell="A103">
      <selection activeCell="E44" sqref="E44"/>
    </sheetView>
  </sheetViews>
  <sheetFormatPr defaultColWidth="9.140625" defaultRowHeight="12.75"/>
  <cols>
    <col min="1" max="3" width="9.140625" style="5" customWidth="1"/>
    <col min="4" max="4" width="59.57421875" style="5" customWidth="1"/>
    <col min="5" max="5" width="19.140625" style="5" customWidth="1"/>
    <col min="6" max="6" width="9.28125" style="5" customWidth="1"/>
    <col min="7" max="7" width="8.57421875" style="5" bestFit="1" customWidth="1"/>
    <col min="8" max="8" width="11.140625" style="5" customWidth="1"/>
    <col min="9" max="9" width="12.421875" style="5" bestFit="1" customWidth="1"/>
    <col min="10" max="10" width="11.140625" style="5" customWidth="1"/>
    <col min="11" max="11" width="14.8515625" style="5" customWidth="1"/>
    <col min="12" max="12" width="9.57421875" style="5" customWidth="1"/>
    <col min="13" max="13" width="11.8515625" style="5" customWidth="1"/>
    <col min="14" max="14" width="11.00390625" style="5" customWidth="1"/>
    <col min="15" max="15" width="9.57421875" style="5" customWidth="1"/>
    <col min="16" max="16" width="11.8515625" style="5" customWidth="1"/>
    <col min="17" max="17" width="11.00390625" style="5" customWidth="1"/>
    <col min="18" max="16384" width="9.140625" style="5" customWidth="1"/>
  </cols>
  <sheetData>
    <row r="1" spans="1:252" ht="15">
      <c r="A1" s="31"/>
      <c r="B1" s="31"/>
      <c r="C1" s="249"/>
      <c r="D1" s="3"/>
      <c r="E1" s="3"/>
      <c r="F1" s="3"/>
      <c r="G1" s="107"/>
      <c r="H1" s="107"/>
      <c r="I1" s="3"/>
      <c r="J1" s="30"/>
      <c r="K1" s="120" t="s">
        <v>141</v>
      </c>
      <c r="L1" s="3"/>
      <c r="M1" s="30"/>
      <c r="N1" s="30"/>
      <c r="O1" s="30"/>
      <c r="P1" s="30"/>
      <c r="Q1" s="30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</row>
    <row r="2" spans="1:252" ht="15">
      <c r="A2" s="31"/>
      <c r="B2" s="31"/>
      <c r="C2" s="249"/>
      <c r="D2" s="3"/>
      <c r="E2" s="3"/>
      <c r="F2" s="3"/>
      <c r="G2" s="107"/>
      <c r="H2" s="107"/>
      <c r="I2" s="3"/>
      <c r="J2" s="481" t="s">
        <v>9</v>
      </c>
      <c r="K2" s="481"/>
      <c r="L2" s="481"/>
      <c r="M2" s="30"/>
      <c r="N2" s="30"/>
      <c r="O2" s="30"/>
      <c r="P2" s="30"/>
      <c r="Q2" s="30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</row>
    <row r="3" spans="1:252" ht="15" thickBot="1">
      <c r="A3" s="31"/>
      <c r="B3" s="31"/>
      <c r="C3" s="30"/>
      <c r="D3" s="22"/>
      <c r="E3" s="22"/>
      <c r="F3" s="169"/>
      <c r="G3" s="169"/>
      <c r="H3" s="169"/>
      <c r="I3" s="9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</row>
    <row r="4" spans="1:252" ht="15">
      <c r="A4" s="172"/>
      <c r="B4" s="172"/>
      <c r="C4" s="30"/>
      <c r="D4" s="471" t="s">
        <v>10</v>
      </c>
      <c r="E4" s="471"/>
      <c r="F4" s="471"/>
      <c r="G4" s="471"/>
      <c r="H4" s="471"/>
      <c r="I4" s="171"/>
      <c r="J4" s="39"/>
      <c r="K4" s="171"/>
      <c r="L4" s="171"/>
      <c r="M4" s="171"/>
      <c r="N4" s="171"/>
      <c r="O4" s="171"/>
      <c r="P4" s="171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</row>
    <row r="5" spans="1:252" ht="15">
      <c r="A5" s="175"/>
      <c r="B5" s="175"/>
      <c r="C5" s="501" t="s">
        <v>128</v>
      </c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171"/>
      <c r="O5" s="175"/>
      <c r="P5" s="175"/>
      <c r="Q5" s="171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5"/>
      <c r="FF5" s="175"/>
      <c r="FG5" s="175"/>
      <c r="FH5" s="175"/>
      <c r="FI5" s="175"/>
      <c r="FJ5" s="175"/>
      <c r="FK5" s="175"/>
      <c r="FL5" s="175"/>
      <c r="FM5" s="175"/>
      <c r="FN5" s="175"/>
      <c r="FO5" s="175"/>
      <c r="FP5" s="175"/>
      <c r="FQ5" s="175"/>
      <c r="FR5" s="175"/>
      <c r="FS5" s="175"/>
      <c r="FT5" s="175"/>
      <c r="FU5" s="175"/>
      <c r="FV5" s="175"/>
      <c r="FW5" s="175"/>
      <c r="FX5" s="175"/>
      <c r="FY5" s="175"/>
      <c r="FZ5" s="175"/>
      <c r="GA5" s="175"/>
      <c r="GB5" s="175"/>
      <c r="GC5" s="175"/>
      <c r="GD5" s="175"/>
      <c r="GE5" s="175"/>
      <c r="GF5" s="175"/>
      <c r="GG5" s="175"/>
      <c r="GH5" s="175"/>
      <c r="GI5" s="175"/>
      <c r="GJ5" s="175"/>
      <c r="GK5" s="175"/>
      <c r="GL5" s="175"/>
      <c r="GM5" s="175"/>
      <c r="GN5" s="175"/>
      <c r="GO5" s="175"/>
      <c r="GP5" s="175"/>
      <c r="GQ5" s="175"/>
      <c r="GR5" s="175"/>
      <c r="GS5" s="175"/>
      <c r="GT5" s="175"/>
      <c r="GU5" s="175"/>
      <c r="GV5" s="175"/>
      <c r="GW5" s="175"/>
      <c r="GX5" s="175"/>
      <c r="GY5" s="175"/>
      <c r="GZ5" s="175"/>
      <c r="HA5" s="175"/>
      <c r="HB5" s="175"/>
      <c r="HC5" s="175"/>
      <c r="HD5" s="175"/>
      <c r="HE5" s="175"/>
      <c r="HF5" s="175"/>
      <c r="HG5" s="175"/>
      <c r="HH5" s="175"/>
      <c r="HI5" s="175"/>
      <c r="HJ5" s="175"/>
      <c r="HK5" s="175"/>
      <c r="HL5" s="175"/>
      <c r="HM5" s="175"/>
      <c r="HN5" s="175"/>
      <c r="HO5" s="175"/>
      <c r="HP5" s="175"/>
      <c r="HQ5" s="175"/>
      <c r="HR5" s="175"/>
      <c r="HS5" s="175"/>
      <c r="HT5" s="175"/>
      <c r="HU5" s="175"/>
      <c r="HV5" s="175"/>
      <c r="HW5" s="175"/>
      <c r="HX5" s="175"/>
      <c r="HY5" s="175"/>
      <c r="HZ5" s="175"/>
      <c r="IA5" s="175"/>
      <c r="IB5" s="175"/>
      <c r="IC5" s="175"/>
      <c r="ID5" s="175"/>
      <c r="IE5" s="175"/>
      <c r="IF5" s="175"/>
      <c r="IG5" s="175"/>
      <c r="IH5" s="175"/>
      <c r="II5" s="175"/>
      <c r="IJ5" s="175"/>
      <c r="IK5" s="175"/>
      <c r="IL5" s="175"/>
      <c r="IM5" s="175"/>
      <c r="IN5" s="175"/>
      <c r="IO5" s="175"/>
      <c r="IP5" s="175"/>
      <c r="IQ5" s="175"/>
      <c r="IR5" s="175"/>
    </row>
    <row r="6" spans="1:252" ht="15">
      <c r="A6" s="99"/>
      <c r="B6" s="99"/>
      <c r="C6" s="99"/>
      <c r="D6" s="10"/>
      <c r="E6" s="10"/>
      <c r="F6" s="10"/>
      <c r="G6" s="173"/>
      <c r="H6" s="173"/>
      <c r="I6" s="173"/>
      <c r="J6" s="173"/>
      <c r="K6" s="173"/>
      <c r="L6" s="173"/>
      <c r="M6" s="173"/>
      <c r="N6" s="171"/>
      <c r="O6" s="173"/>
      <c r="P6" s="173"/>
      <c r="Q6" s="171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</row>
    <row r="7" spans="1:252" ht="15">
      <c r="A7" s="175"/>
      <c r="B7" s="175"/>
      <c r="C7" s="501" t="s">
        <v>180</v>
      </c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171"/>
      <c r="O7" s="175"/>
      <c r="P7" s="175"/>
      <c r="Q7" s="171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5"/>
      <c r="HU7" s="175"/>
      <c r="HV7" s="175"/>
      <c r="HW7" s="175"/>
      <c r="HX7" s="175"/>
      <c r="HY7" s="175"/>
      <c r="HZ7" s="175"/>
      <c r="IA7" s="175"/>
      <c r="IB7" s="175"/>
      <c r="IC7" s="175"/>
      <c r="ID7" s="175"/>
      <c r="IE7" s="175"/>
      <c r="IF7" s="175"/>
      <c r="IG7" s="175"/>
      <c r="IH7" s="175"/>
      <c r="II7" s="175"/>
      <c r="IJ7" s="175"/>
      <c r="IK7" s="175"/>
      <c r="IL7" s="175"/>
      <c r="IM7" s="175"/>
      <c r="IN7" s="175"/>
      <c r="IO7" s="175"/>
      <c r="IP7" s="175"/>
      <c r="IQ7" s="175"/>
      <c r="IR7" s="175"/>
    </row>
    <row r="8" spans="1:252" ht="31.5" customHeight="1">
      <c r="A8" s="175"/>
      <c r="B8" s="175"/>
      <c r="C8" s="504" t="s">
        <v>297</v>
      </c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171"/>
      <c r="O8" s="175"/>
      <c r="P8" s="175"/>
      <c r="Q8" s="171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  <c r="FF8" s="175"/>
      <c r="FG8" s="175"/>
      <c r="FH8" s="175"/>
      <c r="FI8" s="175"/>
      <c r="FJ8" s="175"/>
      <c r="FK8" s="175"/>
      <c r="FL8" s="175"/>
      <c r="FM8" s="175"/>
      <c r="FN8" s="175"/>
      <c r="FO8" s="175"/>
      <c r="FP8" s="175"/>
      <c r="FQ8" s="175"/>
      <c r="FR8" s="175"/>
      <c r="FS8" s="175"/>
      <c r="FT8" s="175"/>
      <c r="FU8" s="175"/>
      <c r="FV8" s="175"/>
      <c r="FW8" s="175"/>
      <c r="FX8" s="175"/>
      <c r="FY8" s="175"/>
      <c r="FZ8" s="175"/>
      <c r="GA8" s="175"/>
      <c r="GB8" s="175"/>
      <c r="GC8" s="175"/>
      <c r="GD8" s="175"/>
      <c r="GE8" s="175"/>
      <c r="GF8" s="175"/>
      <c r="GG8" s="175"/>
      <c r="GH8" s="175"/>
      <c r="GI8" s="175"/>
      <c r="GJ8" s="175"/>
      <c r="GK8" s="175"/>
      <c r="GL8" s="175"/>
      <c r="GM8" s="175"/>
      <c r="GN8" s="175"/>
      <c r="GO8" s="175"/>
      <c r="GP8" s="175"/>
      <c r="GQ8" s="175"/>
      <c r="GR8" s="175"/>
      <c r="GS8" s="175"/>
      <c r="GT8" s="175"/>
      <c r="GU8" s="175"/>
      <c r="GV8" s="175"/>
      <c r="GW8" s="175"/>
      <c r="GX8" s="175"/>
      <c r="GY8" s="175"/>
      <c r="GZ8" s="175"/>
      <c r="HA8" s="175"/>
      <c r="HB8" s="175"/>
      <c r="HC8" s="175"/>
      <c r="HD8" s="175"/>
      <c r="HE8" s="175"/>
      <c r="HF8" s="175"/>
      <c r="HG8" s="175"/>
      <c r="HH8" s="175"/>
      <c r="HI8" s="175"/>
      <c r="HJ8" s="175"/>
      <c r="HK8" s="175"/>
      <c r="HL8" s="175"/>
      <c r="HM8" s="175"/>
      <c r="HN8" s="175"/>
      <c r="HO8" s="175"/>
      <c r="HP8" s="175"/>
      <c r="HQ8" s="175"/>
      <c r="HR8" s="175"/>
      <c r="HS8" s="175"/>
      <c r="HT8" s="175"/>
      <c r="HU8" s="175"/>
      <c r="HV8" s="175"/>
      <c r="HW8" s="175"/>
      <c r="HX8" s="175"/>
      <c r="HY8" s="175"/>
      <c r="HZ8" s="175"/>
      <c r="IA8" s="175"/>
      <c r="IB8" s="175"/>
      <c r="IC8" s="175"/>
      <c r="ID8" s="175"/>
      <c r="IE8" s="175"/>
      <c r="IF8" s="175"/>
      <c r="IG8" s="175"/>
      <c r="IH8" s="175"/>
      <c r="II8" s="175"/>
      <c r="IJ8" s="175"/>
      <c r="IK8" s="175"/>
      <c r="IL8" s="175"/>
      <c r="IM8" s="175"/>
      <c r="IN8" s="175"/>
      <c r="IO8" s="175"/>
      <c r="IP8" s="175"/>
      <c r="IQ8" s="175"/>
      <c r="IR8" s="175"/>
    </row>
    <row r="9" spans="1:252" ht="15">
      <c r="A9" s="175"/>
      <c r="B9" s="175"/>
      <c r="C9" s="175"/>
      <c r="D9" s="36"/>
      <c r="E9" s="36"/>
      <c r="F9" s="36"/>
      <c r="G9" s="176"/>
      <c r="H9" s="176"/>
      <c r="I9" s="176"/>
      <c r="J9" s="176"/>
      <c r="K9" s="176"/>
      <c r="L9" s="176"/>
      <c r="M9" s="176"/>
      <c r="N9" s="175"/>
      <c r="O9" s="176"/>
      <c r="P9" s="176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5"/>
      <c r="FK9" s="175"/>
      <c r="FL9" s="175"/>
      <c r="FM9" s="175"/>
      <c r="FN9" s="175"/>
      <c r="FO9" s="175"/>
      <c r="FP9" s="175"/>
      <c r="FQ9" s="175"/>
      <c r="FR9" s="175"/>
      <c r="FS9" s="175"/>
      <c r="FT9" s="175"/>
      <c r="FU9" s="175"/>
      <c r="FV9" s="175"/>
      <c r="FW9" s="175"/>
      <c r="FX9" s="175"/>
      <c r="FY9" s="175"/>
      <c r="FZ9" s="175"/>
      <c r="GA9" s="175"/>
      <c r="GB9" s="175"/>
      <c r="GC9" s="175"/>
      <c r="GD9" s="175"/>
      <c r="GE9" s="175"/>
      <c r="GF9" s="175"/>
      <c r="GG9" s="175"/>
      <c r="GH9" s="175"/>
      <c r="GI9" s="175"/>
      <c r="GJ9" s="175"/>
      <c r="GK9" s="175"/>
      <c r="GL9" s="175"/>
      <c r="GM9" s="175"/>
      <c r="GN9" s="175"/>
      <c r="GO9" s="175"/>
      <c r="GP9" s="175"/>
      <c r="GQ9" s="175"/>
      <c r="GR9" s="175"/>
      <c r="GS9" s="175"/>
      <c r="GT9" s="175"/>
      <c r="GU9" s="175"/>
      <c r="GV9" s="175"/>
      <c r="GW9" s="175"/>
      <c r="GX9" s="175"/>
      <c r="GY9" s="175"/>
      <c r="GZ9" s="175"/>
      <c r="HA9" s="175"/>
      <c r="HB9" s="175"/>
      <c r="HC9" s="175"/>
      <c r="HD9" s="175"/>
      <c r="HE9" s="175"/>
      <c r="HF9" s="175"/>
      <c r="HG9" s="175"/>
      <c r="HH9" s="175"/>
      <c r="HI9" s="175"/>
      <c r="HJ9" s="175"/>
      <c r="HK9" s="175"/>
      <c r="HL9" s="175"/>
      <c r="HM9" s="175"/>
      <c r="HN9" s="175"/>
      <c r="HO9" s="175"/>
      <c r="HP9" s="175"/>
      <c r="HQ9" s="175"/>
      <c r="HR9" s="175"/>
      <c r="HS9" s="175"/>
      <c r="HT9" s="175"/>
      <c r="HU9" s="175"/>
      <c r="HV9" s="175"/>
      <c r="HW9" s="175"/>
      <c r="HX9" s="175"/>
      <c r="HY9" s="175"/>
      <c r="HZ9" s="175"/>
      <c r="IA9" s="175"/>
      <c r="IB9" s="175"/>
      <c r="IC9" s="175"/>
      <c r="ID9" s="175"/>
      <c r="IE9" s="175"/>
      <c r="IF9" s="175"/>
      <c r="IG9" s="175"/>
      <c r="IH9" s="175"/>
      <c r="II9" s="175"/>
      <c r="IJ9" s="175"/>
      <c r="IK9" s="175"/>
      <c r="IL9" s="175"/>
      <c r="IM9" s="175"/>
      <c r="IN9" s="175"/>
      <c r="IO9" s="175"/>
      <c r="IP9" s="175"/>
      <c r="IQ9" s="175"/>
      <c r="IR9" s="175"/>
    </row>
    <row r="10" spans="1:252" ht="15" thickBot="1">
      <c r="A10" s="175"/>
      <c r="B10" s="175"/>
      <c r="C10" s="177"/>
      <c r="D10" s="36"/>
      <c r="E10" s="36"/>
      <c r="F10" s="36"/>
      <c r="G10" s="176"/>
      <c r="H10" s="176"/>
      <c r="I10" s="176"/>
      <c r="J10" s="176"/>
      <c r="K10" s="176"/>
      <c r="L10" s="176"/>
      <c r="M10" s="176"/>
      <c r="N10" s="175"/>
      <c r="O10" s="176"/>
      <c r="P10" s="176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175"/>
      <c r="FL10" s="175"/>
      <c r="FM10" s="175"/>
      <c r="FN10" s="175"/>
      <c r="FO10" s="175"/>
      <c r="FP10" s="175"/>
      <c r="FQ10" s="175"/>
      <c r="FR10" s="175"/>
      <c r="FS10" s="175"/>
      <c r="FT10" s="175"/>
      <c r="FU10" s="175"/>
      <c r="FV10" s="175"/>
      <c r="FW10" s="175"/>
      <c r="FX10" s="175"/>
      <c r="FY10" s="175"/>
      <c r="FZ10" s="175"/>
      <c r="GA10" s="175"/>
      <c r="GB10" s="175"/>
      <c r="GC10" s="175"/>
      <c r="GD10" s="175"/>
      <c r="GE10" s="175"/>
      <c r="GF10" s="175"/>
      <c r="GG10" s="175"/>
      <c r="GH10" s="175"/>
      <c r="GI10" s="175"/>
      <c r="GJ10" s="175"/>
      <c r="GK10" s="175"/>
      <c r="GL10" s="175"/>
      <c r="GM10" s="175"/>
      <c r="GN10" s="175"/>
      <c r="GO10" s="175"/>
      <c r="GP10" s="175"/>
      <c r="GQ10" s="175"/>
      <c r="GR10" s="175"/>
      <c r="GS10" s="175"/>
      <c r="GT10" s="175"/>
      <c r="GU10" s="175"/>
      <c r="GV10" s="175"/>
      <c r="GW10" s="175"/>
      <c r="GX10" s="175"/>
      <c r="GY10" s="175"/>
      <c r="GZ10" s="175"/>
      <c r="HA10" s="175"/>
      <c r="HB10" s="175"/>
      <c r="HC10" s="175"/>
      <c r="HD10" s="175"/>
      <c r="HE10" s="175"/>
      <c r="HF10" s="175"/>
      <c r="HG10" s="175"/>
      <c r="HH10" s="175"/>
      <c r="HI10" s="175"/>
      <c r="HJ10" s="175"/>
      <c r="HK10" s="175"/>
      <c r="HL10" s="175"/>
      <c r="HM10" s="175"/>
      <c r="HN10" s="175"/>
      <c r="HO10" s="175"/>
      <c r="HP10" s="175"/>
      <c r="HQ10" s="175"/>
      <c r="HR10" s="175"/>
      <c r="HS10" s="175"/>
      <c r="HT10" s="175"/>
      <c r="HU10" s="175"/>
      <c r="HV10" s="175"/>
      <c r="HW10" s="175"/>
      <c r="HX10" s="175"/>
      <c r="HY10" s="175"/>
      <c r="HZ10" s="175"/>
      <c r="IA10" s="175"/>
      <c r="IB10" s="175"/>
      <c r="IC10" s="175"/>
      <c r="ID10" s="175"/>
      <c r="IE10" s="175"/>
      <c r="IF10" s="175"/>
      <c r="IG10" s="175"/>
      <c r="IH10" s="175"/>
      <c r="II10" s="175"/>
      <c r="IJ10" s="175"/>
      <c r="IK10" s="175"/>
      <c r="IL10" s="175"/>
      <c r="IM10" s="175"/>
      <c r="IN10" s="175"/>
      <c r="IO10" s="175"/>
      <c r="IP10" s="175"/>
      <c r="IQ10" s="175"/>
      <c r="IR10" s="175"/>
    </row>
    <row r="11" spans="1:252" ht="39.75" thickBot="1">
      <c r="A11" s="421"/>
      <c r="B11" s="421"/>
      <c r="C11" s="421"/>
      <c r="D11" s="423"/>
      <c r="E11" s="424" t="s">
        <v>283</v>
      </c>
      <c r="F11" s="189"/>
      <c r="G11" s="502" t="s">
        <v>298</v>
      </c>
      <c r="H11" s="502"/>
      <c r="I11" s="502"/>
      <c r="J11" s="502"/>
      <c r="K11" s="503"/>
      <c r="L11" s="498" t="s">
        <v>260</v>
      </c>
      <c r="M11" s="499"/>
      <c r="N11" s="500"/>
      <c r="O11" s="498" t="s">
        <v>254</v>
      </c>
      <c r="P11" s="499"/>
      <c r="Q11" s="500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</row>
    <row r="12" spans="1:252" ht="66">
      <c r="A12" s="190" t="s">
        <v>280</v>
      </c>
      <c r="B12" s="190" t="s">
        <v>281</v>
      </c>
      <c r="C12" s="190" t="s">
        <v>282</v>
      </c>
      <c r="D12" s="422"/>
      <c r="E12" s="190" t="s">
        <v>284</v>
      </c>
      <c r="F12" s="190" t="s">
        <v>150</v>
      </c>
      <c r="G12" s="191" t="s">
        <v>146</v>
      </c>
      <c r="H12" s="192" t="s">
        <v>151</v>
      </c>
      <c r="I12" s="192" t="s">
        <v>152</v>
      </c>
      <c r="J12" s="192" t="s">
        <v>296</v>
      </c>
      <c r="K12" s="192" t="s">
        <v>295</v>
      </c>
      <c r="L12" s="192" t="s">
        <v>146</v>
      </c>
      <c r="M12" s="192" t="s">
        <v>147</v>
      </c>
      <c r="N12" s="192" t="s">
        <v>148</v>
      </c>
      <c r="O12" s="192" t="s">
        <v>146</v>
      </c>
      <c r="P12" s="192" t="s">
        <v>147</v>
      </c>
      <c r="Q12" s="192" t="s">
        <v>148</v>
      </c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193"/>
      <c r="GD12" s="193"/>
      <c r="GE12" s="193"/>
      <c r="GF12" s="193"/>
      <c r="GG12" s="193"/>
      <c r="GH12" s="193"/>
      <c r="GI12" s="193"/>
      <c r="GJ12" s="193"/>
      <c r="GK12" s="193"/>
      <c r="GL12" s="193"/>
      <c r="GM12" s="193"/>
      <c r="GN12" s="193"/>
      <c r="GO12" s="193"/>
      <c r="GP12" s="193"/>
      <c r="GQ12" s="193"/>
      <c r="GR12" s="193"/>
      <c r="GS12" s="193"/>
      <c r="GT12" s="193"/>
      <c r="GU12" s="193"/>
      <c r="GV12" s="193"/>
      <c r="GW12" s="193"/>
      <c r="GX12" s="193"/>
      <c r="GY12" s="193"/>
      <c r="GZ12" s="193"/>
      <c r="HA12" s="193"/>
      <c r="HB12" s="193"/>
      <c r="HC12" s="193"/>
      <c r="HD12" s="193"/>
      <c r="HE12" s="193"/>
      <c r="HF12" s="193"/>
      <c r="HG12" s="193"/>
      <c r="HH12" s="193"/>
      <c r="HI12" s="193"/>
      <c r="HJ12" s="193"/>
      <c r="HK12" s="193"/>
      <c r="HL12" s="193"/>
      <c r="HM12" s="193"/>
      <c r="HN12" s="193"/>
      <c r="HO12" s="193"/>
      <c r="HP12" s="193"/>
      <c r="HQ12" s="193"/>
      <c r="HR12" s="193"/>
      <c r="HS12" s="193"/>
      <c r="HT12" s="193"/>
      <c r="HU12" s="193"/>
      <c r="HV12" s="193"/>
      <c r="HW12" s="193"/>
      <c r="HX12" s="193"/>
      <c r="HY12" s="193"/>
      <c r="HZ12" s="193"/>
      <c r="IA12" s="193"/>
      <c r="IB12" s="193"/>
      <c r="IC12" s="193"/>
      <c r="ID12" s="193"/>
      <c r="IE12" s="193"/>
      <c r="IF12" s="193"/>
      <c r="IG12" s="193"/>
      <c r="IH12" s="193"/>
      <c r="II12" s="193"/>
      <c r="IJ12" s="193"/>
      <c r="IK12" s="193"/>
      <c r="IL12" s="193"/>
      <c r="IM12" s="193"/>
      <c r="IN12" s="193"/>
      <c r="IO12" s="193"/>
      <c r="IP12" s="193"/>
      <c r="IQ12" s="193"/>
      <c r="IR12" s="193"/>
    </row>
    <row r="13" spans="1:252" ht="13.5" customHeight="1">
      <c r="A13" s="124">
        <v>1</v>
      </c>
      <c r="B13" s="124">
        <v>2</v>
      </c>
      <c r="C13" s="124">
        <v>3</v>
      </c>
      <c r="D13" s="124">
        <v>4</v>
      </c>
      <c r="E13" s="124">
        <v>5</v>
      </c>
      <c r="F13" s="124">
        <v>6</v>
      </c>
      <c r="G13" s="124">
        <v>7</v>
      </c>
      <c r="H13" s="124">
        <v>8</v>
      </c>
      <c r="I13" s="124">
        <v>9</v>
      </c>
      <c r="J13" s="124">
        <v>11</v>
      </c>
      <c r="K13" s="124">
        <v>12</v>
      </c>
      <c r="L13" s="124">
        <v>13</v>
      </c>
      <c r="M13" s="124">
        <v>14</v>
      </c>
      <c r="N13" s="124">
        <v>15</v>
      </c>
      <c r="O13" s="124">
        <v>16</v>
      </c>
      <c r="P13" s="124">
        <v>17</v>
      </c>
      <c r="Q13" s="124">
        <v>18</v>
      </c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  <c r="IR13" s="194"/>
    </row>
    <row r="14" spans="3:17" ht="20.25" customHeight="1">
      <c r="C14" s="185"/>
      <c r="D14" s="425"/>
      <c r="E14" s="425"/>
      <c r="F14" s="395"/>
      <c r="G14" s="395"/>
      <c r="H14" s="395"/>
      <c r="I14" s="395"/>
      <c r="J14" s="433">
        <v>2023</v>
      </c>
      <c r="K14" s="396"/>
      <c r="L14" s="396"/>
      <c r="M14" s="396"/>
      <c r="N14" s="396"/>
      <c r="O14" s="396"/>
      <c r="P14" s="396"/>
      <c r="Q14" s="396"/>
    </row>
    <row r="15" spans="1:17" ht="30.75">
      <c r="A15" s="412">
        <v>6</v>
      </c>
      <c r="B15" s="413"/>
      <c r="C15" s="414"/>
      <c r="D15" s="415" t="s">
        <v>285</v>
      </c>
      <c r="E15" s="416"/>
      <c r="F15" s="417"/>
      <c r="G15" s="430">
        <f>+G17+G44+G113</f>
        <v>381</v>
      </c>
      <c r="H15" s="418"/>
      <c r="I15" s="418"/>
      <c r="J15" s="418"/>
      <c r="K15" s="418"/>
      <c r="L15" s="430">
        <f>+L17+L44+L113</f>
        <v>0</v>
      </c>
      <c r="M15" s="418"/>
      <c r="N15" s="430">
        <f>+N17+N44+N113</f>
        <v>0</v>
      </c>
      <c r="O15" s="430">
        <f>+O17+O44+O113</f>
        <v>168</v>
      </c>
      <c r="P15" s="430"/>
      <c r="Q15" s="430">
        <f>+Q17+Q44+Q113</f>
        <v>15814.7</v>
      </c>
    </row>
    <row r="16" spans="1:17" ht="28.5" customHeight="1">
      <c r="A16" s="404"/>
      <c r="B16" s="405">
        <v>61</v>
      </c>
      <c r="C16" s="406"/>
      <c r="D16" s="407" t="s">
        <v>290</v>
      </c>
      <c r="E16" s="408"/>
      <c r="F16" s="188"/>
      <c r="G16" s="101"/>
      <c r="H16" s="101"/>
      <c r="I16" s="101"/>
      <c r="J16" s="101"/>
      <c r="K16" s="101"/>
      <c r="L16" s="101"/>
      <c r="M16" s="101"/>
      <c r="N16" s="72"/>
      <c r="O16" s="101"/>
      <c r="P16" s="101"/>
      <c r="Q16" s="72"/>
    </row>
    <row r="17" spans="1:17" ht="62.25">
      <c r="A17" s="460"/>
      <c r="B17" s="460"/>
      <c r="C17" s="409">
        <v>610</v>
      </c>
      <c r="D17" s="410" t="s">
        <v>286</v>
      </c>
      <c r="E17" s="411">
        <v>5</v>
      </c>
      <c r="F17" s="101" t="s">
        <v>312</v>
      </c>
      <c r="G17" s="397">
        <f>+G18+G37</f>
        <v>120</v>
      </c>
      <c r="H17" s="101"/>
      <c r="I17" s="101"/>
      <c r="J17" s="432">
        <v>20</v>
      </c>
      <c r="K17" s="101"/>
      <c r="L17" s="397">
        <f>+L18+L37</f>
        <v>0</v>
      </c>
      <c r="M17" s="101"/>
      <c r="N17" s="397">
        <f>+N18+N37</f>
        <v>0</v>
      </c>
      <c r="O17" s="397">
        <f>+O18+O37</f>
        <v>41</v>
      </c>
      <c r="P17" s="101"/>
      <c r="Q17" s="397">
        <f>+Q18+Q37</f>
        <v>8399</v>
      </c>
    </row>
    <row r="18" spans="1:17" ht="30">
      <c r="A18" s="459"/>
      <c r="B18" s="459"/>
      <c r="C18" s="461">
        <v>1</v>
      </c>
      <c r="D18" s="399" t="s">
        <v>276</v>
      </c>
      <c r="E18" s="420"/>
      <c r="F18" s="400"/>
      <c r="G18" s="402">
        <f>SUM(G19:G35)</f>
        <v>106</v>
      </c>
      <c r="H18" s="401"/>
      <c r="I18" s="401"/>
      <c r="J18" s="401"/>
      <c r="K18" s="401"/>
      <c r="L18" s="402">
        <f>SUM(L19:L20)</f>
        <v>0</v>
      </c>
      <c r="M18" s="401"/>
      <c r="N18" s="402">
        <f>SUM(N19:N20)</f>
        <v>0</v>
      </c>
      <c r="O18" s="402">
        <f>SUM(O19:O36)</f>
        <v>40</v>
      </c>
      <c r="P18" s="401"/>
      <c r="Q18" s="402">
        <f>SUM(Q19:Q36)</f>
        <v>8120</v>
      </c>
    </row>
    <row r="19" spans="1:17" ht="15">
      <c r="A19" s="172"/>
      <c r="B19" s="172"/>
      <c r="C19" s="124">
        <v>1</v>
      </c>
      <c r="D19" s="403" t="s">
        <v>314</v>
      </c>
      <c r="E19" s="101"/>
      <c r="F19" s="101"/>
      <c r="G19" s="101">
        <v>15</v>
      </c>
      <c r="H19" s="101">
        <v>2019</v>
      </c>
      <c r="I19" s="101">
        <v>6225</v>
      </c>
      <c r="J19" s="101">
        <f aca="true" t="shared" si="0" ref="J19:J26">IF(($J$14-H19)*J$17&gt;100,100,($J$14-H19)*J$17)</f>
        <v>80</v>
      </c>
      <c r="K19" s="101">
        <f>IF(J19=100,0,I19-I19*J19%)</f>
        <v>1245</v>
      </c>
      <c r="L19" s="101"/>
      <c r="M19" s="101"/>
      <c r="N19" s="72">
        <f>+L19*M19</f>
        <v>0</v>
      </c>
      <c r="O19" s="101"/>
      <c r="P19" s="101"/>
      <c r="Q19" s="72">
        <f>+O19*P19</f>
        <v>0</v>
      </c>
    </row>
    <row r="20" spans="1:17" ht="15">
      <c r="A20" s="172"/>
      <c r="B20" s="172"/>
      <c r="C20" s="124">
        <v>4</v>
      </c>
      <c r="D20" s="101" t="s">
        <v>315</v>
      </c>
      <c r="E20" s="101"/>
      <c r="F20" s="101"/>
      <c r="G20" s="101">
        <v>10</v>
      </c>
      <c r="H20" s="101">
        <v>2008</v>
      </c>
      <c r="I20" s="101">
        <v>4901.2</v>
      </c>
      <c r="J20" s="101">
        <f t="shared" si="0"/>
        <v>100</v>
      </c>
      <c r="K20" s="101">
        <f aca="true" t="shared" si="1" ref="K20:K35">IF(J20=100,0,I20-I20*J20%)</f>
        <v>0</v>
      </c>
      <c r="L20" s="101"/>
      <c r="M20" s="101"/>
      <c r="N20" s="72">
        <f>+L20*M20</f>
        <v>0</v>
      </c>
      <c r="O20" s="101"/>
      <c r="P20" s="101"/>
      <c r="Q20" s="72">
        <f>+O20*P20</f>
        <v>0</v>
      </c>
    </row>
    <row r="21" spans="1:17" ht="15">
      <c r="A21" s="172"/>
      <c r="B21" s="172"/>
      <c r="C21" s="124">
        <v>5</v>
      </c>
      <c r="D21" s="101" t="s">
        <v>315</v>
      </c>
      <c r="E21" s="101"/>
      <c r="F21" s="101"/>
      <c r="G21" s="101">
        <v>18</v>
      </c>
      <c r="H21" s="101">
        <v>2008</v>
      </c>
      <c r="I21" s="101">
        <v>8881</v>
      </c>
      <c r="J21" s="101">
        <f t="shared" si="0"/>
        <v>100</v>
      </c>
      <c r="K21" s="101">
        <f t="shared" si="1"/>
        <v>0</v>
      </c>
      <c r="L21" s="101"/>
      <c r="M21" s="101"/>
      <c r="N21" s="72"/>
      <c r="O21" s="101"/>
      <c r="P21" s="101"/>
      <c r="Q21" s="72">
        <f aca="true" t="shared" si="2" ref="Q21:Q35">+O21*P21</f>
        <v>0</v>
      </c>
    </row>
    <row r="22" spans="1:17" ht="15">
      <c r="A22" s="172"/>
      <c r="B22" s="172"/>
      <c r="C22" s="124">
        <v>6</v>
      </c>
      <c r="D22" s="101" t="s">
        <v>316</v>
      </c>
      <c r="E22" s="101"/>
      <c r="F22" s="101"/>
      <c r="G22" s="101">
        <v>9</v>
      </c>
      <c r="H22" s="101">
        <v>2008</v>
      </c>
      <c r="I22" s="101">
        <v>5159.6</v>
      </c>
      <c r="J22" s="101">
        <f t="shared" si="0"/>
        <v>100</v>
      </c>
      <c r="K22" s="101">
        <f t="shared" si="1"/>
        <v>0</v>
      </c>
      <c r="L22" s="101"/>
      <c r="M22" s="101"/>
      <c r="N22" s="72"/>
      <c r="O22" s="101"/>
      <c r="P22" s="101"/>
      <c r="Q22" s="72">
        <f t="shared" si="2"/>
        <v>0</v>
      </c>
    </row>
    <row r="23" spans="1:17" ht="15">
      <c r="A23" s="172"/>
      <c r="B23" s="172"/>
      <c r="C23" s="124">
        <v>7</v>
      </c>
      <c r="D23" s="101" t="s">
        <v>317</v>
      </c>
      <c r="E23" s="101"/>
      <c r="F23" s="101"/>
      <c r="G23" s="101">
        <v>1</v>
      </c>
      <c r="H23" s="101">
        <v>2007</v>
      </c>
      <c r="I23" s="101">
        <v>164</v>
      </c>
      <c r="J23" s="101">
        <f t="shared" si="0"/>
        <v>100</v>
      </c>
      <c r="K23" s="101">
        <f t="shared" si="1"/>
        <v>0</v>
      </c>
      <c r="L23" s="101"/>
      <c r="M23" s="101"/>
      <c r="N23" s="72"/>
      <c r="O23" s="101"/>
      <c r="P23" s="101"/>
      <c r="Q23" s="72">
        <f t="shared" si="2"/>
        <v>0</v>
      </c>
    </row>
    <row r="24" spans="1:17" ht="15">
      <c r="A24" s="172"/>
      <c r="B24" s="172"/>
      <c r="C24" s="124">
        <v>8</v>
      </c>
      <c r="D24" s="101" t="s">
        <v>693</v>
      </c>
      <c r="E24" s="101"/>
      <c r="F24" s="101"/>
      <c r="G24" s="101">
        <v>12</v>
      </c>
      <c r="H24" s="101">
        <v>2016</v>
      </c>
      <c r="I24" s="101">
        <v>2894.4</v>
      </c>
      <c r="J24" s="101">
        <f t="shared" si="0"/>
        <v>100</v>
      </c>
      <c r="K24" s="101">
        <f t="shared" si="1"/>
        <v>0</v>
      </c>
      <c r="L24" s="101"/>
      <c r="M24" s="101"/>
      <c r="N24" s="72"/>
      <c r="O24" s="101"/>
      <c r="P24" s="101"/>
      <c r="Q24" s="72">
        <f t="shared" si="2"/>
        <v>0</v>
      </c>
    </row>
    <row r="25" spans="1:17" ht="15">
      <c r="A25" s="172"/>
      <c r="B25" s="172"/>
      <c r="C25" s="124">
        <v>9</v>
      </c>
      <c r="D25" s="101" t="s">
        <v>318</v>
      </c>
      <c r="E25" s="101"/>
      <c r="F25" s="101"/>
      <c r="G25" s="101">
        <v>3</v>
      </c>
      <c r="H25" s="101">
        <v>2018</v>
      </c>
      <c r="I25" s="101">
        <v>594</v>
      </c>
      <c r="J25" s="101">
        <f t="shared" si="0"/>
        <v>100</v>
      </c>
      <c r="K25" s="101">
        <f t="shared" si="1"/>
        <v>0</v>
      </c>
      <c r="L25" s="101"/>
      <c r="M25" s="101"/>
      <c r="N25" s="72"/>
      <c r="O25" s="101"/>
      <c r="P25" s="101"/>
      <c r="Q25" s="72">
        <f t="shared" si="2"/>
        <v>0</v>
      </c>
    </row>
    <row r="26" spans="1:17" ht="15">
      <c r="A26" s="172"/>
      <c r="B26" s="172"/>
      <c r="C26" s="124">
        <v>10</v>
      </c>
      <c r="D26" s="101" t="s">
        <v>318</v>
      </c>
      <c r="E26" s="101"/>
      <c r="F26" s="101"/>
      <c r="G26" s="101">
        <v>1</v>
      </c>
      <c r="H26" s="101">
        <v>2018</v>
      </c>
      <c r="I26" s="101">
        <v>220</v>
      </c>
      <c r="J26" s="101">
        <f t="shared" si="0"/>
        <v>100</v>
      </c>
      <c r="K26" s="101">
        <f t="shared" si="1"/>
        <v>0</v>
      </c>
      <c r="L26" s="101"/>
      <c r="M26" s="101"/>
      <c r="N26" s="72"/>
      <c r="O26" s="101"/>
      <c r="P26" s="101"/>
      <c r="Q26" s="72">
        <f t="shared" si="2"/>
        <v>0</v>
      </c>
    </row>
    <row r="27" spans="1:17" ht="15">
      <c r="A27" s="172"/>
      <c r="B27" s="172"/>
      <c r="C27" s="124">
        <v>11</v>
      </c>
      <c r="D27" s="101" t="s">
        <v>319</v>
      </c>
      <c r="E27" s="101"/>
      <c r="F27" s="101"/>
      <c r="G27" s="101">
        <v>4</v>
      </c>
      <c r="H27" s="101">
        <v>2012</v>
      </c>
      <c r="I27" s="101">
        <v>432</v>
      </c>
      <c r="J27" s="101">
        <f aca="true" t="shared" si="3" ref="J27:J35">IF(($J$14-H27)*J$17&gt;100,100,($J$14-H27)*J$17)</f>
        <v>100</v>
      </c>
      <c r="K27" s="101">
        <f t="shared" si="1"/>
        <v>0</v>
      </c>
      <c r="L27" s="101"/>
      <c r="M27" s="101"/>
      <c r="N27" s="72"/>
      <c r="O27" s="101"/>
      <c r="P27" s="101"/>
      <c r="Q27" s="72">
        <f t="shared" si="2"/>
        <v>0</v>
      </c>
    </row>
    <row r="28" spans="1:17" ht="15">
      <c r="A28" s="172"/>
      <c r="B28" s="172"/>
      <c r="C28" s="124">
        <v>12</v>
      </c>
      <c r="D28" s="101" t="s">
        <v>320</v>
      </c>
      <c r="E28" s="101"/>
      <c r="F28" s="101"/>
      <c r="G28" s="101">
        <v>3</v>
      </c>
      <c r="H28" s="101">
        <v>2018</v>
      </c>
      <c r="I28" s="101">
        <v>716</v>
      </c>
      <c r="J28" s="101">
        <f t="shared" si="3"/>
        <v>100</v>
      </c>
      <c r="K28" s="101">
        <f t="shared" si="1"/>
        <v>0</v>
      </c>
      <c r="L28" s="101"/>
      <c r="M28" s="101"/>
      <c r="N28" s="72"/>
      <c r="O28" s="101"/>
      <c r="P28" s="101"/>
      <c r="Q28" s="72">
        <f t="shared" si="2"/>
        <v>0</v>
      </c>
    </row>
    <row r="29" spans="1:17" ht="15">
      <c r="A29" s="172"/>
      <c r="B29" s="172"/>
      <c r="C29" s="124">
        <v>13</v>
      </c>
      <c r="D29" s="101" t="s">
        <v>321</v>
      </c>
      <c r="E29" s="101"/>
      <c r="F29" s="101"/>
      <c r="G29" s="101">
        <v>1</v>
      </c>
      <c r="H29" s="101">
        <v>2019</v>
      </c>
      <c r="I29" s="101">
        <v>160</v>
      </c>
      <c r="J29" s="101">
        <f t="shared" si="3"/>
        <v>80</v>
      </c>
      <c r="K29" s="101">
        <f t="shared" si="1"/>
        <v>32</v>
      </c>
      <c r="L29" s="101"/>
      <c r="M29" s="101"/>
      <c r="N29" s="72"/>
      <c r="O29" s="101"/>
      <c r="P29" s="101"/>
      <c r="Q29" s="72">
        <f t="shared" si="2"/>
        <v>0</v>
      </c>
    </row>
    <row r="30" spans="1:17" ht="15">
      <c r="A30" s="172"/>
      <c r="B30" s="172"/>
      <c r="C30" s="124">
        <v>14</v>
      </c>
      <c r="D30" s="101" t="s">
        <v>321</v>
      </c>
      <c r="E30" s="101"/>
      <c r="F30" s="101"/>
      <c r="G30" s="101">
        <v>1</v>
      </c>
      <c r="H30" s="101">
        <v>2018</v>
      </c>
      <c r="I30" s="101">
        <v>216</v>
      </c>
      <c r="J30" s="101">
        <f t="shared" si="3"/>
        <v>100</v>
      </c>
      <c r="K30" s="101">
        <f t="shared" si="1"/>
        <v>0</v>
      </c>
      <c r="L30" s="101"/>
      <c r="M30" s="101"/>
      <c r="N30" s="72"/>
      <c r="O30" s="101"/>
      <c r="P30" s="101"/>
      <c r="Q30" s="72">
        <f t="shared" si="2"/>
        <v>0</v>
      </c>
    </row>
    <row r="31" spans="1:17" ht="15">
      <c r="A31" s="172"/>
      <c r="B31" s="172"/>
      <c r="C31" s="124">
        <v>15</v>
      </c>
      <c r="D31" s="434" t="s">
        <v>322</v>
      </c>
      <c r="E31" s="101"/>
      <c r="F31" s="101"/>
      <c r="G31" s="101">
        <v>5</v>
      </c>
      <c r="H31" s="101">
        <v>2018</v>
      </c>
      <c r="I31" s="101">
        <v>848</v>
      </c>
      <c r="J31" s="101">
        <f t="shared" si="3"/>
        <v>100</v>
      </c>
      <c r="K31" s="101">
        <f t="shared" si="1"/>
        <v>0</v>
      </c>
      <c r="L31" s="101"/>
      <c r="M31" s="101"/>
      <c r="N31" s="72"/>
      <c r="O31" s="101"/>
      <c r="P31" s="101"/>
      <c r="Q31" s="72">
        <f t="shared" si="2"/>
        <v>0</v>
      </c>
    </row>
    <row r="32" spans="1:17" ht="15">
      <c r="A32" s="172"/>
      <c r="B32" s="172"/>
      <c r="C32" s="124">
        <v>16</v>
      </c>
      <c r="D32" s="434" t="s">
        <v>323</v>
      </c>
      <c r="E32" s="101"/>
      <c r="F32" s="101"/>
      <c r="G32" s="101">
        <v>5</v>
      </c>
      <c r="H32" s="101">
        <v>2018</v>
      </c>
      <c r="I32" s="101">
        <v>847</v>
      </c>
      <c r="J32" s="101">
        <f t="shared" si="3"/>
        <v>100</v>
      </c>
      <c r="K32" s="101">
        <f t="shared" si="1"/>
        <v>0</v>
      </c>
      <c r="L32" s="101"/>
      <c r="M32" s="101"/>
      <c r="N32" s="72"/>
      <c r="O32" s="101"/>
      <c r="P32" s="101"/>
      <c r="Q32" s="72">
        <f t="shared" si="2"/>
        <v>0</v>
      </c>
    </row>
    <row r="33" spans="1:17" ht="15">
      <c r="A33" s="172"/>
      <c r="B33" s="172"/>
      <c r="C33" s="124">
        <v>17</v>
      </c>
      <c r="D33" s="434" t="s">
        <v>324</v>
      </c>
      <c r="E33" s="101"/>
      <c r="F33" s="101"/>
      <c r="G33" s="101">
        <v>12</v>
      </c>
      <c r="H33" s="101">
        <v>2006</v>
      </c>
      <c r="I33" s="101">
        <v>2520</v>
      </c>
      <c r="J33" s="101">
        <f t="shared" si="3"/>
        <v>100</v>
      </c>
      <c r="K33" s="101">
        <f t="shared" si="1"/>
        <v>0</v>
      </c>
      <c r="L33" s="101"/>
      <c r="M33" s="101"/>
      <c r="N33" s="72"/>
      <c r="O33" s="101"/>
      <c r="P33" s="101"/>
      <c r="Q33" s="72">
        <f t="shared" si="2"/>
        <v>0</v>
      </c>
    </row>
    <row r="34" spans="1:17" ht="15">
      <c r="A34" s="172"/>
      <c r="B34" s="172"/>
      <c r="C34" s="124">
        <v>18</v>
      </c>
      <c r="D34" s="434" t="s">
        <v>325</v>
      </c>
      <c r="E34" s="101"/>
      <c r="F34" s="101"/>
      <c r="G34" s="101">
        <v>3</v>
      </c>
      <c r="H34" s="101">
        <v>2013</v>
      </c>
      <c r="I34" s="101">
        <v>292</v>
      </c>
      <c r="J34" s="101">
        <f t="shared" si="3"/>
        <v>100</v>
      </c>
      <c r="K34" s="101">
        <f t="shared" si="1"/>
        <v>0</v>
      </c>
      <c r="L34" s="101"/>
      <c r="M34" s="101"/>
      <c r="N34" s="72"/>
      <c r="O34" s="101"/>
      <c r="P34" s="101"/>
      <c r="Q34" s="72">
        <f t="shared" si="2"/>
        <v>0</v>
      </c>
    </row>
    <row r="35" spans="1:17" ht="15">
      <c r="A35" s="172"/>
      <c r="B35" s="172"/>
      <c r="C35" s="124">
        <v>19</v>
      </c>
      <c r="D35" s="434" t="s">
        <v>326</v>
      </c>
      <c r="E35" s="101"/>
      <c r="F35" s="101"/>
      <c r="G35" s="101">
        <v>3</v>
      </c>
      <c r="H35" s="101">
        <v>2016</v>
      </c>
      <c r="I35" s="101">
        <v>745</v>
      </c>
      <c r="J35" s="101">
        <f t="shared" si="3"/>
        <v>100</v>
      </c>
      <c r="K35" s="101">
        <f t="shared" si="1"/>
        <v>0</v>
      </c>
      <c r="L35" s="101"/>
      <c r="M35" s="101"/>
      <c r="N35" s="72"/>
      <c r="O35" s="101"/>
      <c r="P35" s="101"/>
      <c r="Q35" s="72">
        <f t="shared" si="2"/>
        <v>0</v>
      </c>
    </row>
    <row r="36" spans="1:17" ht="15">
      <c r="A36" s="172"/>
      <c r="B36" s="172"/>
      <c r="C36" s="124">
        <v>20</v>
      </c>
      <c r="D36" s="434" t="s">
        <v>694</v>
      </c>
      <c r="E36" s="101"/>
      <c r="F36" s="101"/>
      <c r="G36" s="101"/>
      <c r="H36" s="101"/>
      <c r="I36" s="101"/>
      <c r="J36" s="101"/>
      <c r="K36" s="101">
        <f>IF(J36=100,0,I36-I36*J36%)</f>
        <v>0</v>
      </c>
      <c r="L36" s="101"/>
      <c r="M36" s="101"/>
      <c r="N36" s="72"/>
      <c r="O36" s="101">
        <v>40</v>
      </c>
      <c r="P36" s="101">
        <v>203</v>
      </c>
      <c r="Q36" s="72">
        <f>+O36*P36</f>
        <v>8120</v>
      </c>
    </row>
    <row r="37" spans="1:17" ht="60">
      <c r="A37" s="401"/>
      <c r="B37" s="401"/>
      <c r="C37" s="398">
        <v>2</v>
      </c>
      <c r="D37" s="399" t="s">
        <v>275</v>
      </c>
      <c r="E37" s="420"/>
      <c r="F37" s="400"/>
      <c r="G37" s="402">
        <f>SUM(G38:G42)</f>
        <v>14</v>
      </c>
      <c r="H37" s="401"/>
      <c r="I37" s="401"/>
      <c r="J37" s="401"/>
      <c r="K37" s="401"/>
      <c r="L37" s="402">
        <f>SUM(L38:L40)</f>
        <v>0</v>
      </c>
      <c r="M37" s="401"/>
      <c r="N37" s="402">
        <f>SUM(N38:N40)</f>
        <v>0</v>
      </c>
      <c r="O37" s="402">
        <f>SUM(O38:O43)</f>
        <v>1</v>
      </c>
      <c r="P37" s="401"/>
      <c r="Q37" s="402">
        <f>SUM(Q38:Q43)</f>
        <v>279</v>
      </c>
    </row>
    <row r="38" spans="1:17" ht="15">
      <c r="A38" s="101"/>
      <c r="B38" s="101"/>
      <c r="C38" s="435">
        <v>1</v>
      </c>
      <c r="D38" s="403" t="s">
        <v>695</v>
      </c>
      <c r="E38" s="101"/>
      <c r="F38" s="101"/>
      <c r="G38" s="101">
        <v>10</v>
      </c>
      <c r="H38" s="101">
        <v>2019</v>
      </c>
      <c r="I38" s="101">
        <v>2100</v>
      </c>
      <c r="J38" s="101">
        <f>IF(($J$14-H38)*J$17&gt;100,100,($J$14-H38)*J$17)</f>
        <v>80</v>
      </c>
      <c r="K38" s="101">
        <f aca="true" t="shared" si="4" ref="K38:K44">IF(J38=100,0,I38-I38*J38%)</f>
        <v>420</v>
      </c>
      <c r="L38" s="101"/>
      <c r="M38" s="101"/>
      <c r="N38" s="72">
        <f>+L38*M38</f>
        <v>0</v>
      </c>
      <c r="O38" s="101"/>
      <c r="P38" s="101"/>
      <c r="Q38" s="72">
        <f aca="true" t="shared" si="5" ref="Q38:Q43">+O38*P38</f>
        <v>0</v>
      </c>
    </row>
    <row r="39" spans="1:17" ht="15">
      <c r="A39" s="101"/>
      <c r="B39" s="101"/>
      <c r="C39" s="435">
        <v>2</v>
      </c>
      <c r="D39" s="403" t="s">
        <v>313</v>
      </c>
      <c r="E39" s="101"/>
      <c r="F39" s="101"/>
      <c r="G39" s="101">
        <v>1</v>
      </c>
      <c r="H39" s="101">
        <v>2020</v>
      </c>
      <c r="I39" s="101">
        <v>195</v>
      </c>
      <c r="J39" s="101">
        <f>IF(($J$14-H39)*J$17&gt;100,100,($J$14-H39)*J$17)</f>
        <v>60</v>
      </c>
      <c r="K39" s="101">
        <f t="shared" si="4"/>
        <v>78</v>
      </c>
      <c r="L39" s="101"/>
      <c r="M39" s="101"/>
      <c r="N39" s="72">
        <f>+L39*M39</f>
        <v>0</v>
      </c>
      <c r="O39" s="101"/>
      <c r="P39" s="101"/>
      <c r="Q39" s="72">
        <f t="shared" si="5"/>
        <v>0</v>
      </c>
    </row>
    <row r="40" spans="1:17" ht="15">
      <c r="A40" s="101"/>
      <c r="B40" s="101"/>
      <c r="C40" s="435">
        <v>3</v>
      </c>
      <c r="D40" s="403" t="s">
        <v>313</v>
      </c>
      <c r="E40" s="101"/>
      <c r="F40" s="101"/>
      <c r="G40" s="101">
        <v>1</v>
      </c>
      <c r="H40" s="101">
        <v>2019</v>
      </c>
      <c r="I40" s="101">
        <v>1495</v>
      </c>
      <c r="J40" s="101">
        <f>IF(($J$14-H40)*J$17&gt;100,100,($J$14-H40)*J$17)</f>
        <v>80</v>
      </c>
      <c r="K40" s="101">
        <f t="shared" si="4"/>
        <v>299</v>
      </c>
      <c r="L40" s="101"/>
      <c r="M40" s="101"/>
      <c r="N40" s="72">
        <f>+L40*M40</f>
        <v>0</v>
      </c>
      <c r="O40" s="101"/>
      <c r="P40" s="101"/>
      <c r="Q40" s="72">
        <f t="shared" si="5"/>
        <v>0</v>
      </c>
    </row>
    <row r="41" spans="1:17" ht="15">
      <c r="A41" s="101"/>
      <c r="B41" s="101"/>
      <c r="C41" s="435">
        <v>4</v>
      </c>
      <c r="D41" s="434" t="s">
        <v>327</v>
      </c>
      <c r="E41" s="101"/>
      <c r="F41" s="101"/>
      <c r="G41" s="101">
        <v>1</v>
      </c>
      <c r="H41" s="101">
        <v>2012</v>
      </c>
      <c r="I41" s="101">
        <v>350</v>
      </c>
      <c r="J41" s="101">
        <f>IF(($J$14-H41)*J$17&gt;100,100,($J$14-H41)*J$17)</f>
        <v>100</v>
      </c>
      <c r="K41" s="101">
        <f t="shared" si="4"/>
        <v>0</v>
      </c>
      <c r="L41" s="101"/>
      <c r="M41" s="101"/>
      <c r="N41" s="72"/>
      <c r="O41" s="101"/>
      <c r="P41" s="101"/>
      <c r="Q41" s="72">
        <f t="shared" si="5"/>
        <v>0</v>
      </c>
    </row>
    <row r="42" spans="1:17" ht="15">
      <c r="A42" s="101"/>
      <c r="B42" s="101"/>
      <c r="C42" s="435">
        <v>5</v>
      </c>
      <c r="D42" s="434" t="s">
        <v>328</v>
      </c>
      <c r="E42" s="101"/>
      <c r="F42" s="101"/>
      <c r="G42" s="101">
        <v>1</v>
      </c>
      <c r="H42" s="101">
        <v>2008</v>
      </c>
      <c r="I42" s="101">
        <v>1216</v>
      </c>
      <c r="J42" s="101">
        <f>IF(($J$14-H42)*J$17&gt;100,100,($J$14-H42)*J$17)</f>
        <v>100</v>
      </c>
      <c r="K42" s="101">
        <f t="shared" si="4"/>
        <v>0</v>
      </c>
      <c r="L42" s="101"/>
      <c r="M42" s="101"/>
      <c r="N42" s="72"/>
      <c r="O42" s="101"/>
      <c r="P42" s="101"/>
      <c r="Q42" s="72">
        <f t="shared" si="5"/>
        <v>0</v>
      </c>
    </row>
    <row r="43" spans="1:17" ht="15">
      <c r="A43" s="101"/>
      <c r="B43" s="101"/>
      <c r="C43" s="124">
        <v>6</v>
      </c>
      <c r="D43" s="403" t="s">
        <v>696</v>
      </c>
      <c r="E43" s="101"/>
      <c r="F43" s="101"/>
      <c r="G43" s="101"/>
      <c r="H43" s="101"/>
      <c r="I43" s="101"/>
      <c r="J43" s="101"/>
      <c r="K43" s="101"/>
      <c r="L43" s="101"/>
      <c r="M43" s="101"/>
      <c r="N43" s="72"/>
      <c r="O43" s="101">
        <v>1</v>
      </c>
      <c r="P43" s="101">
        <v>279</v>
      </c>
      <c r="Q43" s="72">
        <f t="shared" si="5"/>
        <v>279</v>
      </c>
    </row>
    <row r="44" spans="1:17" ht="124.5">
      <c r="A44" s="436"/>
      <c r="B44" s="436"/>
      <c r="C44" s="437">
        <v>611</v>
      </c>
      <c r="D44" s="410" t="s">
        <v>287</v>
      </c>
      <c r="E44" s="411">
        <v>7</v>
      </c>
      <c r="F44" s="101"/>
      <c r="G44" s="397">
        <f>+G45+G61+G78</f>
        <v>261</v>
      </c>
      <c r="H44" s="101"/>
      <c r="I44" s="101"/>
      <c r="J44" s="432">
        <v>14.3</v>
      </c>
      <c r="K44" s="101">
        <f t="shared" si="4"/>
        <v>0</v>
      </c>
      <c r="L44" s="397">
        <f>+L45+L61+L78</f>
        <v>0</v>
      </c>
      <c r="M44" s="101"/>
      <c r="N44" s="397">
        <f>+N45+N61+N78</f>
        <v>0</v>
      </c>
      <c r="O44" s="397">
        <f>+O45+O61+O78</f>
        <v>111</v>
      </c>
      <c r="P44" s="101"/>
      <c r="Q44" s="397">
        <f>+Q45+Q61+Q78</f>
        <v>7235.7</v>
      </c>
    </row>
    <row r="45" spans="1:17" ht="15">
      <c r="A45" s="401"/>
      <c r="B45" s="401"/>
      <c r="C45" s="398">
        <v>1</v>
      </c>
      <c r="D45" s="399" t="s">
        <v>277</v>
      </c>
      <c r="E45" s="399"/>
      <c r="F45" s="400"/>
      <c r="G45" s="402">
        <f>SUM(G46:G59)</f>
        <v>104</v>
      </c>
      <c r="H45" s="401"/>
      <c r="I45" s="401"/>
      <c r="J45" s="401"/>
      <c r="K45" s="401"/>
      <c r="L45" s="402">
        <f>SUM(L46:L48)</f>
        <v>0</v>
      </c>
      <c r="M45" s="401"/>
      <c r="N45" s="402">
        <f>SUM(N46:N48)</f>
        <v>0</v>
      </c>
      <c r="O45" s="402">
        <f>SUM(O46:O60)</f>
        <v>40</v>
      </c>
      <c r="P45" s="401"/>
      <c r="Q45" s="402">
        <f>SUM(Q46:Q60)</f>
        <v>3040</v>
      </c>
    </row>
    <row r="46" spans="3:17" ht="15">
      <c r="C46" s="124">
        <v>1</v>
      </c>
      <c r="D46" s="101" t="s">
        <v>408</v>
      </c>
      <c r="E46" s="101"/>
      <c r="F46" s="101"/>
      <c r="G46" s="101">
        <v>6</v>
      </c>
      <c r="H46" s="101">
        <v>1999</v>
      </c>
      <c r="I46" s="101">
        <v>1134</v>
      </c>
      <c r="J46" s="101">
        <f aca="true" t="shared" si="6" ref="J46:J59">IF(($J$14-H46)*J$44&gt;100,100,($J$14-H46)*J$44)</f>
        <v>100</v>
      </c>
      <c r="K46" s="101">
        <f>IF(J46=100,0,I46-I46*J46%)</f>
        <v>0</v>
      </c>
      <c r="L46" s="101"/>
      <c r="M46" s="101"/>
      <c r="N46" s="72">
        <f>+L46*M46</f>
        <v>0</v>
      </c>
      <c r="O46" s="101"/>
      <c r="P46" s="101"/>
      <c r="Q46" s="72">
        <f>+O46*P46</f>
        <v>0</v>
      </c>
    </row>
    <row r="47" spans="3:17" ht="15">
      <c r="C47" s="124">
        <v>2</v>
      </c>
      <c r="D47" s="5" t="s">
        <v>409</v>
      </c>
      <c r="E47" s="101"/>
      <c r="F47" s="101"/>
      <c r="G47" s="101">
        <v>1</v>
      </c>
      <c r="H47" s="101">
        <v>2006</v>
      </c>
      <c r="I47" s="101">
        <v>59</v>
      </c>
      <c r="J47" s="101">
        <f t="shared" si="6"/>
        <v>100</v>
      </c>
      <c r="K47" s="101">
        <f>IF(J47=100,0,I47-I47*J47%)</f>
        <v>0</v>
      </c>
      <c r="L47" s="101"/>
      <c r="M47" s="101"/>
      <c r="N47" s="72">
        <f>+L47*M47</f>
        <v>0</v>
      </c>
      <c r="O47" s="101"/>
      <c r="P47" s="101"/>
      <c r="Q47" s="72">
        <f>+O47*P47</f>
        <v>0</v>
      </c>
    </row>
    <row r="48" spans="3:17" ht="15">
      <c r="C48" s="124">
        <v>3</v>
      </c>
      <c r="D48" s="101" t="s">
        <v>410</v>
      </c>
      <c r="E48" s="101"/>
      <c r="F48" s="101"/>
      <c r="G48" s="101">
        <v>2</v>
      </c>
      <c r="H48" s="101">
        <v>2006</v>
      </c>
      <c r="I48" s="101">
        <v>273</v>
      </c>
      <c r="J48" s="101">
        <f t="shared" si="6"/>
        <v>100</v>
      </c>
      <c r="K48" s="101">
        <f>IF(J48=100,0,I48-I48*J48%)</f>
        <v>0</v>
      </c>
      <c r="L48" s="101"/>
      <c r="M48" s="101"/>
      <c r="N48" s="72">
        <f>+L48*M48</f>
        <v>0</v>
      </c>
      <c r="O48" s="101"/>
      <c r="P48" s="101"/>
      <c r="Q48" s="72">
        <f>+O48*P48</f>
        <v>0</v>
      </c>
    </row>
    <row r="49" spans="3:17" ht="15">
      <c r="C49" s="124">
        <v>4</v>
      </c>
      <c r="D49" s="101" t="s">
        <v>411</v>
      </c>
      <c r="E49" s="101"/>
      <c r="F49" s="101"/>
      <c r="G49" s="101">
        <v>2</v>
      </c>
      <c r="H49" s="101">
        <v>2007</v>
      </c>
      <c r="I49" s="101">
        <v>223</v>
      </c>
      <c r="J49" s="101">
        <f t="shared" si="6"/>
        <v>100</v>
      </c>
      <c r="K49" s="101">
        <f aca="true" t="shared" si="7" ref="K49:K59">IF(J49=100,0,I49-I49*J49%)</f>
        <v>0</v>
      </c>
      <c r="L49" s="101"/>
      <c r="M49" s="101"/>
      <c r="N49" s="72"/>
      <c r="O49" s="101"/>
      <c r="P49" s="101"/>
      <c r="Q49" s="72">
        <f aca="true" t="shared" si="8" ref="Q49:Q60">+O49*P49</f>
        <v>0</v>
      </c>
    </row>
    <row r="50" spans="3:17" ht="15">
      <c r="C50" s="124">
        <v>5</v>
      </c>
      <c r="D50" s="101" t="s">
        <v>412</v>
      </c>
      <c r="E50" s="101"/>
      <c r="F50" s="101"/>
      <c r="G50" s="101">
        <v>10</v>
      </c>
      <c r="H50" s="101">
        <v>2008</v>
      </c>
      <c r="I50" s="101">
        <v>1419</v>
      </c>
      <c r="J50" s="101">
        <f t="shared" si="6"/>
        <v>100</v>
      </c>
      <c r="K50" s="101">
        <f t="shared" si="7"/>
        <v>0</v>
      </c>
      <c r="L50" s="101"/>
      <c r="M50" s="101"/>
      <c r="N50" s="72"/>
      <c r="O50" s="101"/>
      <c r="P50" s="101"/>
      <c r="Q50" s="72">
        <f t="shared" si="8"/>
        <v>0</v>
      </c>
    </row>
    <row r="51" spans="3:17" ht="15">
      <c r="C51" s="124">
        <v>6</v>
      </c>
      <c r="D51" s="101" t="s">
        <v>413</v>
      </c>
      <c r="E51" s="101"/>
      <c r="F51" s="101"/>
      <c r="G51" s="101">
        <v>42</v>
      </c>
      <c r="H51" s="101">
        <v>2008</v>
      </c>
      <c r="I51" s="101">
        <v>5280</v>
      </c>
      <c r="J51" s="101">
        <f t="shared" si="6"/>
        <v>100</v>
      </c>
      <c r="K51" s="101">
        <f t="shared" si="7"/>
        <v>0</v>
      </c>
      <c r="L51" s="101"/>
      <c r="M51" s="101"/>
      <c r="N51" s="72"/>
      <c r="O51" s="101"/>
      <c r="P51" s="101"/>
      <c r="Q51" s="72">
        <f t="shared" si="8"/>
        <v>0</v>
      </c>
    </row>
    <row r="52" spans="3:17" ht="15">
      <c r="C52" s="124">
        <v>7</v>
      </c>
      <c r="D52" s="101" t="s">
        <v>414</v>
      </c>
      <c r="E52" s="101"/>
      <c r="F52" s="101"/>
      <c r="G52" s="101">
        <v>1</v>
      </c>
      <c r="H52" s="101">
        <v>2013</v>
      </c>
      <c r="I52" s="101">
        <v>43</v>
      </c>
      <c r="J52" s="101">
        <f t="shared" si="6"/>
        <v>100</v>
      </c>
      <c r="K52" s="101">
        <f t="shared" si="7"/>
        <v>0</v>
      </c>
      <c r="L52" s="101"/>
      <c r="M52" s="101"/>
      <c r="N52" s="72"/>
      <c r="O52" s="101"/>
      <c r="P52" s="101"/>
      <c r="Q52" s="72">
        <f t="shared" si="8"/>
        <v>0</v>
      </c>
    </row>
    <row r="53" spans="3:17" ht="15">
      <c r="C53" s="124">
        <v>8</v>
      </c>
      <c r="D53" s="101" t="s">
        <v>700</v>
      </c>
      <c r="E53" s="101"/>
      <c r="F53" s="101"/>
      <c r="G53" s="101">
        <v>3</v>
      </c>
      <c r="H53" s="101">
        <v>2013</v>
      </c>
      <c r="I53" s="101">
        <v>262</v>
      </c>
      <c r="J53" s="101">
        <f t="shared" si="6"/>
        <v>100</v>
      </c>
      <c r="K53" s="101">
        <f t="shared" si="7"/>
        <v>0</v>
      </c>
      <c r="L53" s="101"/>
      <c r="M53" s="101"/>
      <c r="N53" s="72"/>
      <c r="O53" s="101"/>
      <c r="P53" s="101"/>
      <c r="Q53" s="72">
        <f t="shared" si="8"/>
        <v>0</v>
      </c>
    </row>
    <row r="54" spans="3:17" ht="15">
      <c r="C54" s="124">
        <v>9</v>
      </c>
      <c r="D54" s="101" t="s">
        <v>415</v>
      </c>
      <c r="E54" s="101"/>
      <c r="F54" s="101"/>
      <c r="G54" s="101">
        <v>4</v>
      </c>
      <c r="H54" s="101">
        <v>2012</v>
      </c>
      <c r="I54" s="101">
        <v>153</v>
      </c>
      <c r="J54" s="101">
        <f t="shared" si="6"/>
        <v>100</v>
      </c>
      <c r="K54" s="101">
        <f t="shared" si="7"/>
        <v>0</v>
      </c>
      <c r="L54" s="101"/>
      <c r="M54" s="101"/>
      <c r="N54" s="72"/>
      <c r="O54" s="101"/>
      <c r="P54" s="101"/>
      <c r="Q54" s="72">
        <f t="shared" si="8"/>
        <v>0</v>
      </c>
    </row>
    <row r="55" spans="3:17" ht="15">
      <c r="C55" s="124">
        <v>10</v>
      </c>
      <c r="D55" s="101" t="s">
        <v>416</v>
      </c>
      <c r="E55" s="101"/>
      <c r="F55" s="101"/>
      <c r="G55" s="101">
        <v>6</v>
      </c>
      <c r="H55" s="101">
        <v>2015</v>
      </c>
      <c r="I55" s="101">
        <v>560</v>
      </c>
      <c r="J55" s="101">
        <f t="shared" si="6"/>
        <v>100</v>
      </c>
      <c r="K55" s="101">
        <f t="shared" si="7"/>
        <v>0</v>
      </c>
      <c r="L55" s="101"/>
      <c r="M55" s="101"/>
      <c r="N55" s="72"/>
      <c r="O55" s="101"/>
      <c r="P55" s="101"/>
      <c r="Q55" s="72">
        <f t="shared" si="8"/>
        <v>0</v>
      </c>
    </row>
    <row r="56" spans="3:17" ht="15">
      <c r="C56" s="124">
        <v>11</v>
      </c>
      <c r="D56" s="101" t="s">
        <v>417</v>
      </c>
      <c r="E56" s="101"/>
      <c r="F56" s="101"/>
      <c r="G56" s="101">
        <v>10</v>
      </c>
      <c r="H56" s="101">
        <v>2013</v>
      </c>
      <c r="I56" s="101">
        <v>871</v>
      </c>
      <c r="J56" s="101">
        <f t="shared" si="6"/>
        <v>100</v>
      </c>
      <c r="K56" s="101">
        <f t="shared" si="7"/>
        <v>0</v>
      </c>
      <c r="L56" s="101"/>
      <c r="M56" s="101"/>
      <c r="N56" s="72"/>
      <c r="O56" s="101"/>
      <c r="P56" s="101"/>
      <c r="Q56" s="72">
        <f t="shared" si="8"/>
        <v>0</v>
      </c>
    </row>
    <row r="57" spans="3:17" ht="15">
      <c r="C57" s="124">
        <v>12</v>
      </c>
      <c r="D57" s="101" t="s">
        <v>417</v>
      </c>
      <c r="E57" s="101"/>
      <c r="F57" s="101"/>
      <c r="G57" s="101">
        <v>1</v>
      </c>
      <c r="H57" s="101">
        <v>2013</v>
      </c>
      <c r="I57" s="101">
        <v>48</v>
      </c>
      <c r="J57" s="101">
        <f t="shared" si="6"/>
        <v>100</v>
      </c>
      <c r="K57" s="101">
        <f t="shared" si="7"/>
        <v>0</v>
      </c>
      <c r="L57" s="101"/>
      <c r="M57" s="101"/>
      <c r="N57" s="72"/>
      <c r="O57" s="101"/>
      <c r="P57" s="101"/>
      <c r="Q57" s="72">
        <f t="shared" si="8"/>
        <v>0</v>
      </c>
    </row>
    <row r="58" spans="3:17" ht="15">
      <c r="C58" s="124">
        <v>13</v>
      </c>
      <c r="D58" s="434" t="s">
        <v>417</v>
      </c>
      <c r="E58" s="101"/>
      <c r="F58" s="101"/>
      <c r="G58" s="101">
        <v>1</v>
      </c>
      <c r="H58" s="101">
        <v>2013</v>
      </c>
      <c r="I58" s="101">
        <v>52</v>
      </c>
      <c r="J58" s="101">
        <f t="shared" si="6"/>
        <v>100</v>
      </c>
      <c r="K58" s="101">
        <f t="shared" si="7"/>
        <v>0</v>
      </c>
      <c r="L58" s="101"/>
      <c r="M58" s="101"/>
      <c r="N58" s="72"/>
      <c r="O58" s="101"/>
      <c r="P58" s="101"/>
      <c r="Q58" s="72">
        <f t="shared" si="8"/>
        <v>0</v>
      </c>
    </row>
    <row r="59" spans="3:17" ht="15">
      <c r="C59" s="124">
        <v>14</v>
      </c>
      <c r="D59" s="434" t="s">
        <v>418</v>
      </c>
      <c r="E59" s="101"/>
      <c r="F59" s="101"/>
      <c r="G59" s="101">
        <v>15</v>
      </c>
      <c r="H59" s="101">
        <v>2019</v>
      </c>
      <c r="I59" s="101">
        <v>1035</v>
      </c>
      <c r="J59" s="101">
        <f t="shared" si="6"/>
        <v>57.2</v>
      </c>
      <c r="K59" s="101">
        <f t="shared" si="7"/>
        <v>442.9799999999999</v>
      </c>
      <c r="L59" s="101"/>
      <c r="M59" s="101"/>
      <c r="N59" s="72"/>
      <c r="O59" s="101"/>
      <c r="P59" s="101"/>
      <c r="Q59" s="72">
        <f t="shared" si="8"/>
        <v>0</v>
      </c>
    </row>
    <row r="60" spans="3:17" ht="15">
      <c r="C60" s="124">
        <v>15</v>
      </c>
      <c r="D60" s="434" t="s">
        <v>701</v>
      </c>
      <c r="E60" s="101"/>
      <c r="F60" s="101"/>
      <c r="G60" s="101"/>
      <c r="H60" s="101"/>
      <c r="I60" s="101"/>
      <c r="J60" s="101"/>
      <c r="K60" s="101"/>
      <c r="L60" s="101"/>
      <c r="M60" s="101"/>
      <c r="N60" s="72"/>
      <c r="O60" s="101">
        <v>40</v>
      </c>
      <c r="P60" s="101">
        <v>76</v>
      </c>
      <c r="Q60" s="72">
        <f t="shared" si="8"/>
        <v>3040</v>
      </c>
    </row>
    <row r="61" spans="1:17" ht="45">
      <c r="A61" s="401"/>
      <c r="B61" s="401"/>
      <c r="C61" s="398">
        <v>2</v>
      </c>
      <c r="D61" s="399" t="s">
        <v>278</v>
      </c>
      <c r="E61" s="399"/>
      <c r="F61" s="400"/>
      <c r="G61" s="402">
        <f>SUM(G62:G74)</f>
        <v>67</v>
      </c>
      <c r="H61" s="401"/>
      <c r="I61" s="401"/>
      <c r="J61" s="401"/>
      <c r="K61" s="401"/>
      <c r="L61" s="402">
        <f>SUM(L62:L70)</f>
        <v>0</v>
      </c>
      <c r="M61" s="401"/>
      <c r="N61" s="402">
        <f>SUM(N62:N70)</f>
        <v>0</v>
      </c>
      <c r="O61" s="402">
        <f>SUM(O62:O77)</f>
        <v>27</v>
      </c>
      <c r="P61" s="401"/>
      <c r="Q61" s="402">
        <f>SUM(Q62:Q77)</f>
        <v>2612</v>
      </c>
    </row>
    <row r="62" spans="3:17" ht="15">
      <c r="C62" s="124">
        <v>1</v>
      </c>
      <c r="D62" s="101" t="s">
        <v>419</v>
      </c>
      <c r="E62" s="103"/>
      <c r="F62" s="101"/>
      <c r="G62" s="101">
        <v>2</v>
      </c>
      <c r="H62" s="101">
        <v>2006</v>
      </c>
      <c r="I62" s="101">
        <v>170</v>
      </c>
      <c r="J62" s="101">
        <f aca="true" t="shared" si="9" ref="J62:J74">IF(($J$14-H62)*J$44&gt;100,100,($J$14-H62)*J$44)</f>
        <v>100</v>
      </c>
      <c r="K62" s="101">
        <f>IF(J62=100,0,I62-I62*J62%)</f>
        <v>0</v>
      </c>
      <c r="L62" s="101"/>
      <c r="M62" s="101"/>
      <c r="N62" s="72">
        <f>+L62*M62</f>
        <v>0</v>
      </c>
      <c r="O62" s="101"/>
      <c r="P62" s="101"/>
      <c r="Q62" s="72">
        <f>+O62*P62</f>
        <v>0</v>
      </c>
    </row>
    <row r="63" spans="3:17" ht="15">
      <c r="C63" s="124">
        <v>2</v>
      </c>
      <c r="D63" s="101" t="s">
        <v>420</v>
      </c>
      <c r="E63" s="103"/>
      <c r="F63" s="101"/>
      <c r="G63" s="101">
        <v>1</v>
      </c>
      <c r="H63" s="101">
        <v>1999</v>
      </c>
      <c r="I63" s="101">
        <v>302</v>
      </c>
      <c r="J63" s="101">
        <f t="shared" si="9"/>
        <v>100</v>
      </c>
      <c r="K63" s="101">
        <f aca="true" t="shared" si="10" ref="K63:K69">IF(J63=100,0,I63-I63*J63%)</f>
        <v>0</v>
      </c>
      <c r="L63" s="101"/>
      <c r="M63" s="101"/>
      <c r="N63" s="72"/>
      <c r="O63" s="101"/>
      <c r="P63" s="101"/>
      <c r="Q63" s="72">
        <f aca="true" t="shared" si="11" ref="Q63:Q77">+O63*P63</f>
        <v>0</v>
      </c>
    </row>
    <row r="64" spans="3:17" ht="15">
      <c r="C64" s="124">
        <v>3</v>
      </c>
      <c r="D64" s="101" t="s">
        <v>421</v>
      </c>
      <c r="E64" s="103"/>
      <c r="F64" s="101"/>
      <c r="G64" s="101">
        <v>1</v>
      </c>
      <c r="H64" s="101">
        <v>2006</v>
      </c>
      <c r="I64" s="101">
        <v>3720</v>
      </c>
      <c r="J64" s="101">
        <f t="shared" si="9"/>
        <v>100</v>
      </c>
      <c r="K64" s="101">
        <f t="shared" si="10"/>
        <v>0</v>
      </c>
      <c r="L64" s="101"/>
      <c r="M64" s="101"/>
      <c r="N64" s="72"/>
      <c r="O64" s="101"/>
      <c r="P64" s="101"/>
      <c r="Q64" s="72">
        <f t="shared" si="11"/>
        <v>0</v>
      </c>
    </row>
    <row r="65" spans="3:17" ht="15">
      <c r="C65" s="124">
        <v>4</v>
      </c>
      <c r="D65" s="101" t="s">
        <v>422</v>
      </c>
      <c r="E65" s="103"/>
      <c r="F65" s="101"/>
      <c r="G65" s="101">
        <v>10</v>
      </c>
      <c r="H65" s="101">
        <v>2008</v>
      </c>
      <c r="I65" s="101">
        <v>2527</v>
      </c>
      <c r="J65" s="101">
        <f t="shared" si="9"/>
        <v>100</v>
      </c>
      <c r="K65" s="101">
        <f t="shared" si="10"/>
        <v>0</v>
      </c>
      <c r="L65" s="101"/>
      <c r="M65" s="101"/>
      <c r="N65" s="72"/>
      <c r="O65" s="101"/>
      <c r="P65" s="101"/>
      <c r="Q65" s="72">
        <f t="shared" si="11"/>
        <v>0</v>
      </c>
    </row>
    <row r="66" spans="3:17" ht="15">
      <c r="C66" s="124">
        <v>5</v>
      </c>
      <c r="D66" s="101" t="s">
        <v>423</v>
      </c>
      <c r="E66" s="103"/>
      <c r="F66" s="101"/>
      <c r="G66" s="101">
        <v>2</v>
      </c>
      <c r="H66" s="101">
        <v>1999</v>
      </c>
      <c r="I66" s="101">
        <v>234</v>
      </c>
      <c r="J66" s="101">
        <f t="shared" si="9"/>
        <v>100</v>
      </c>
      <c r="K66" s="101">
        <f t="shared" si="10"/>
        <v>0</v>
      </c>
      <c r="L66" s="101"/>
      <c r="M66" s="101"/>
      <c r="N66" s="72"/>
      <c r="O66" s="101"/>
      <c r="P66" s="101"/>
      <c r="Q66" s="72">
        <f t="shared" si="11"/>
        <v>0</v>
      </c>
    </row>
    <row r="67" spans="3:17" ht="15">
      <c r="C67" s="124">
        <v>6</v>
      </c>
      <c r="D67" s="101" t="s">
        <v>424</v>
      </c>
      <c r="E67" s="103"/>
      <c r="F67" s="101"/>
      <c r="G67" s="101">
        <v>2</v>
      </c>
      <c r="H67" s="101">
        <v>2019</v>
      </c>
      <c r="I67" s="101">
        <v>652</v>
      </c>
      <c r="J67" s="101">
        <f t="shared" si="9"/>
        <v>57.2</v>
      </c>
      <c r="K67" s="101">
        <f t="shared" si="10"/>
        <v>279.056</v>
      </c>
      <c r="L67" s="101"/>
      <c r="M67" s="101"/>
      <c r="N67" s="72"/>
      <c r="O67" s="101"/>
      <c r="P67" s="101"/>
      <c r="Q67" s="72">
        <f t="shared" si="11"/>
        <v>0</v>
      </c>
    </row>
    <row r="68" spans="3:17" ht="15">
      <c r="C68" s="124">
        <v>7</v>
      </c>
      <c r="D68" s="101" t="s">
        <v>425</v>
      </c>
      <c r="E68" s="103"/>
      <c r="F68" s="101"/>
      <c r="G68" s="101">
        <v>38</v>
      </c>
      <c r="H68" s="101">
        <v>2008</v>
      </c>
      <c r="I68" s="101">
        <v>1943</v>
      </c>
      <c r="J68" s="101">
        <f t="shared" si="9"/>
        <v>100</v>
      </c>
      <c r="K68" s="101">
        <f t="shared" si="10"/>
        <v>0</v>
      </c>
      <c r="L68" s="101"/>
      <c r="M68" s="101"/>
      <c r="N68" s="72"/>
      <c r="O68" s="101"/>
      <c r="P68" s="101"/>
      <c r="Q68" s="72">
        <f t="shared" si="11"/>
        <v>0</v>
      </c>
    </row>
    <row r="69" spans="3:17" ht="15">
      <c r="C69" s="124">
        <v>8</v>
      </c>
      <c r="D69" s="101" t="s">
        <v>426</v>
      </c>
      <c r="E69" s="103"/>
      <c r="F69" s="101"/>
      <c r="G69" s="101">
        <v>1</v>
      </c>
      <c r="H69" s="101">
        <v>2019</v>
      </c>
      <c r="I69" s="101">
        <v>444</v>
      </c>
      <c r="J69" s="101">
        <f t="shared" si="9"/>
        <v>57.2</v>
      </c>
      <c r="K69" s="101">
        <f t="shared" si="10"/>
        <v>190.03199999999998</v>
      </c>
      <c r="L69" s="101"/>
      <c r="M69" s="101"/>
      <c r="N69" s="72">
        <f>+L69*M69</f>
        <v>0</v>
      </c>
      <c r="O69" s="101"/>
      <c r="P69" s="101"/>
      <c r="Q69" s="72">
        <f t="shared" si="11"/>
        <v>0</v>
      </c>
    </row>
    <row r="70" spans="3:17" ht="15">
      <c r="C70" s="124">
        <v>9</v>
      </c>
      <c r="D70" s="101" t="s">
        <v>427</v>
      </c>
      <c r="E70" s="103"/>
      <c r="F70" s="101"/>
      <c r="G70" s="101">
        <v>5</v>
      </c>
      <c r="H70" s="101">
        <v>2019</v>
      </c>
      <c r="I70" s="101">
        <v>291</v>
      </c>
      <c r="J70" s="101">
        <f t="shared" si="9"/>
        <v>57.2</v>
      </c>
      <c r="K70" s="101">
        <f>IF(J70=100,0,I70-I70*J70%)</f>
        <v>124.54799999999997</v>
      </c>
      <c r="L70" s="101"/>
      <c r="M70" s="101"/>
      <c r="N70" s="72">
        <f>+L70*M70</f>
        <v>0</v>
      </c>
      <c r="O70" s="101"/>
      <c r="P70" s="101"/>
      <c r="Q70" s="72">
        <f t="shared" si="11"/>
        <v>0</v>
      </c>
    </row>
    <row r="71" spans="3:17" ht="15">
      <c r="C71" s="124">
        <v>10</v>
      </c>
      <c r="D71" s="101" t="s">
        <v>428</v>
      </c>
      <c r="E71" s="103"/>
      <c r="F71" s="101"/>
      <c r="G71" s="101">
        <v>1</v>
      </c>
      <c r="H71" s="101">
        <v>2004</v>
      </c>
      <c r="I71" s="101">
        <v>131</v>
      </c>
      <c r="J71" s="101">
        <f t="shared" si="9"/>
        <v>100</v>
      </c>
      <c r="K71" s="101">
        <f>IF(J71=100,0,I71-I71*J71%)</f>
        <v>0</v>
      </c>
      <c r="L71" s="101"/>
      <c r="M71" s="101"/>
      <c r="N71" s="72"/>
      <c r="O71" s="101"/>
      <c r="P71" s="101"/>
      <c r="Q71" s="72">
        <f t="shared" si="11"/>
        <v>0</v>
      </c>
    </row>
    <row r="72" spans="3:17" ht="15">
      <c r="C72" s="124">
        <v>11</v>
      </c>
      <c r="D72" s="101" t="s">
        <v>429</v>
      </c>
      <c r="E72" s="103"/>
      <c r="F72" s="101"/>
      <c r="G72" s="101">
        <v>2</v>
      </c>
      <c r="H72" s="101">
        <v>2007</v>
      </c>
      <c r="I72" s="101">
        <v>124</v>
      </c>
      <c r="J72" s="101">
        <f t="shared" si="9"/>
        <v>100</v>
      </c>
      <c r="K72" s="101">
        <f>IF(J72=100,0,I72-I72*J72%)</f>
        <v>0</v>
      </c>
      <c r="L72" s="101"/>
      <c r="M72" s="101"/>
      <c r="N72" s="72"/>
      <c r="O72" s="101"/>
      <c r="P72" s="101"/>
      <c r="Q72" s="72">
        <f t="shared" si="11"/>
        <v>0</v>
      </c>
    </row>
    <row r="73" spans="3:17" ht="15">
      <c r="C73" s="124">
        <v>12</v>
      </c>
      <c r="D73" s="101" t="s">
        <v>430</v>
      </c>
      <c r="E73" s="103"/>
      <c r="F73" s="101"/>
      <c r="G73" s="101">
        <v>1</v>
      </c>
      <c r="H73" s="101">
        <v>1997</v>
      </c>
      <c r="I73" s="101">
        <v>95</v>
      </c>
      <c r="J73" s="101">
        <f t="shared" si="9"/>
        <v>100</v>
      </c>
      <c r="K73" s="101">
        <f>IF(J73=100,0,I73-I73*J73%)</f>
        <v>0</v>
      </c>
      <c r="L73" s="101"/>
      <c r="M73" s="101"/>
      <c r="N73" s="72"/>
      <c r="O73" s="101"/>
      <c r="P73" s="101"/>
      <c r="Q73" s="72">
        <f t="shared" si="11"/>
        <v>0</v>
      </c>
    </row>
    <row r="74" spans="3:17" ht="15">
      <c r="C74" s="124">
        <v>13</v>
      </c>
      <c r="D74" s="101" t="s">
        <v>431</v>
      </c>
      <c r="E74" s="101"/>
      <c r="F74" s="101"/>
      <c r="G74" s="101">
        <v>1</v>
      </c>
      <c r="H74" s="101">
        <v>1996</v>
      </c>
      <c r="I74" s="101">
        <v>2210</v>
      </c>
      <c r="J74" s="101">
        <f t="shared" si="9"/>
        <v>100</v>
      </c>
      <c r="K74" s="101">
        <f>IF(J74=100,0,I74-I74*J74%)</f>
        <v>0</v>
      </c>
      <c r="L74" s="101"/>
      <c r="M74" s="101"/>
      <c r="N74" s="72"/>
      <c r="O74" s="101"/>
      <c r="P74" s="101"/>
      <c r="Q74" s="72">
        <f t="shared" si="11"/>
        <v>0</v>
      </c>
    </row>
    <row r="75" spans="3:17" ht="15">
      <c r="C75" s="124">
        <v>14</v>
      </c>
      <c r="D75" s="101" t="s">
        <v>697</v>
      </c>
      <c r="E75" s="101"/>
      <c r="F75" s="101"/>
      <c r="G75" s="101"/>
      <c r="H75" s="101"/>
      <c r="I75" s="101"/>
      <c r="J75" s="101"/>
      <c r="K75" s="101"/>
      <c r="L75" s="101"/>
      <c r="M75" s="101"/>
      <c r="N75" s="72"/>
      <c r="O75" s="101">
        <v>10</v>
      </c>
      <c r="P75" s="101">
        <v>132</v>
      </c>
      <c r="Q75" s="72">
        <f t="shared" si="11"/>
        <v>1320</v>
      </c>
    </row>
    <row r="76" spans="3:17" ht="15">
      <c r="C76" s="124">
        <v>15</v>
      </c>
      <c r="D76" s="101" t="s">
        <v>698</v>
      </c>
      <c r="E76" s="101"/>
      <c r="F76" s="101"/>
      <c r="G76" s="101"/>
      <c r="H76" s="101"/>
      <c r="I76" s="101"/>
      <c r="J76" s="101"/>
      <c r="K76" s="101"/>
      <c r="L76" s="101"/>
      <c r="M76" s="101"/>
      <c r="N76" s="72"/>
      <c r="O76" s="101">
        <v>15</v>
      </c>
      <c r="P76" s="101">
        <v>70.8</v>
      </c>
      <c r="Q76" s="72">
        <f t="shared" si="11"/>
        <v>1062</v>
      </c>
    </row>
    <row r="77" spans="3:17" ht="15">
      <c r="C77" s="124">
        <v>16</v>
      </c>
      <c r="D77" s="101" t="s">
        <v>699</v>
      </c>
      <c r="E77" s="101"/>
      <c r="F77" s="101"/>
      <c r="G77" s="101"/>
      <c r="H77" s="101"/>
      <c r="I77" s="101"/>
      <c r="J77" s="101"/>
      <c r="K77" s="101"/>
      <c r="L77" s="101"/>
      <c r="M77" s="101"/>
      <c r="N77" s="72"/>
      <c r="O77" s="101">
        <v>2</v>
      </c>
      <c r="P77" s="101">
        <v>115</v>
      </c>
      <c r="Q77" s="72">
        <f t="shared" si="11"/>
        <v>230</v>
      </c>
    </row>
    <row r="78" spans="1:17" ht="30">
      <c r="A78" s="401"/>
      <c r="B78" s="401"/>
      <c r="C78" s="398">
        <v>3</v>
      </c>
      <c r="D78" s="399" t="s">
        <v>279</v>
      </c>
      <c r="E78" s="399"/>
      <c r="F78" s="400"/>
      <c r="G78" s="402">
        <f>SUM(G79:G109)</f>
        <v>90</v>
      </c>
      <c r="H78" s="401"/>
      <c r="I78" s="401"/>
      <c r="J78" s="401"/>
      <c r="K78" s="401"/>
      <c r="L78" s="402">
        <f>SUM(L79:L109)</f>
        <v>0</v>
      </c>
      <c r="M78" s="401"/>
      <c r="N78" s="402">
        <f>SUM(N79:N109)</f>
        <v>0</v>
      </c>
      <c r="O78" s="402">
        <f>SUM(O79:O112)</f>
        <v>44</v>
      </c>
      <c r="P78" s="401"/>
      <c r="Q78" s="402">
        <f>SUM(Q79:Q112)</f>
        <v>1583.7</v>
      </c>
    </row>
    <row r="79" spans="3:17" ht="15">
      <c r="C79" s="124">
        <v>1</v>
      </c>
      <c r="D79" s="101" t="s">
        <v>432</v>
      </c>
      <c r="E79" s="103"/>
      <c r="F79" s="101"/>
      <c r="G79" s="101">
        <v>1</v>
      </c>
      <c r="H79" s="101">
        <v>2012</v>
      </c>
      <c r="I79" s="101">
        <v>700</v>
      </c>
      <c r="J79" s="101">
        <f aca="true" t="shared" si="12" ref="J79:J109">IF(($J$14-H79)*J$44&gt;100,100,($J$14-H79)*J$44)</f>
        <v>100</v>
      </c>
      <c r="K79" s="101">
        <f aca="true" t="shared" si="13" ref="K79:K84">IF(J79=100,0,I79-I79*J79%)</f>
        <v>0</v>
      </c>
      <c r="L79" s="101"/>
      <c r="M79" s="101"/>
      <c r="N79" s="72">
        <f>+L79*M79</f>
        <v>0</v>
      </c>
      <c r="O79" s="101"/>
      <c r="P79" s="101"/>
      <c r="Q79" s="72">
        <f>+O79*P79</f>
        <v>0</v>
      </c>
    </row>
    <row r="80" spans="3:17" ht="15">
      <c r="C80" s="124">
        <v>2</v>
      </c>
      <c r="D80" s="101" t="s">
        <v>407</v>
      </c>
      <c r="E80" s="103"/>
      <c r="F80" s="101"/>
      <c r="G80" s="101">
        <v>1</v>
      </c>
      <c r="H80" s="101">
        <v>2011</v>
      </c>
      <c r="I80" s="101">
        <v>35</v>
      </c>
      <c r="J80" s="101">
        <f t="shared" si="12"/>
        <v>100</v>
      </c>
      <c r="K80" s="101">
        <f t="shared" si="13"/>
        <v>0</v>
      </c>
      <c r="L80" s="101"/>
      <c r="M80" s="101"/>
      <c r="N80" s="72">
        <f>+L80*M80</f>
        <v>0</v>
      </c>
      <c r="O80" s="101"/>
      <c r="P80" s="101"/>
      <c r="Q80" s="72">
        <f aca="true" t="shared" si="14" ref="Q80:Q112">+O80*P80</f>
        <v>0</v>
      </c>
    </row>
    <row r="81" spans="3:17" ht="15">
      <c r="C81" s="124">
        <v>3</v>
      </c>
      <c r="D81" s="101" t="s">
        <v>433</v>
      </c>
      <c r="E81" s="103"/>
      <c r="F81" s="101"/>
      <c r="G81" s="101">
        <v>2</v>
      </c>
      <c r="H81" s="101">
        <v>2017</v>
      </c>
      <c r="I81" s="101">
        <v>78</v>
      </c>
      <c r="J81" s="101">
        <f t="shared" si="12"/>
        <v>85.80000000000001</v>
      </c>
      <c r="K81" s="101">
        <f t="shared" si="13"/>
        <v>11.075999999999993</v>
      </c>
      <c r="L81" s="101"/>
      <c r="M81" s="101"/>
      <c r="N81" s="72"/>
      <c r="O81" s="101"/>
      <c r="P81" s="101"/>
      <c r="Q81" s="72">
        <f t="shared" si="14"/>
        <v>0</v>
      </c>
    </row>
    <row r="82" spans="3:17" ht="15">
      <c r="C82" s="124">
        <v>4</v>
      </c>
      <c r="D82" s="101" t="s">
        <v>433</v>
      </c>
      <c r="E82" s="103"/>
      <c r="F82" s="101"/>
      <c r="G82" s="101">
        <v>5</v>
      </c>
      <c r="H82" s="101">
        <v>2017</v>
      </c>
      <c r="I82" s="101">
        <v>122</v>
      </c>
      <c r="J82" s="101">
        <f t="shared" si="12"/>
        <v>85.80000000000001</v>
      </c>
      <c r="K82" s="101">
        <f t="shared" si="13"/>
        <v>17.323999999999984</v>
      </c>
      <c r="L82" s="101"/>
      <c r="M82" s="101"/>
      <c r="N82" s="72"/>
      <c r="O82" s="101"/>
      <c r="P82" s="101"/>
      <c r="Q82" s="72">
        <f t="shared" si="14"/>
        <v>0</v>
      </c>
    </row>
    <row r="83" spans="3:17" ht="15">
      <c r="C83" s="124">
        <v>5</v>
      </c>
      <c r="D83" s="101" t="s">
        <v>433</v>
      </c>
      <c r="E83" s="103"/>
      <c r="F83" s="101"/>
      <c r="G83" s="101">
        <v>30</v>
      </c>
      <c r="H83" s="101">
        <v>2018</v>
      </c>
      <c r="I83" s="101">
        <v>630</v>
      </c>
      <c r="J83" s="101">
        <f t="shared" si="12"/>
        <v>71.5</v>
      </c>
      <c r="K83" s="101">
        <f t="shared" si="13"/>
        <v>179.55</v>
      </c>
      <c r="L83" s="101"/>
      <c r="M83" s="101"/>
      <c r="N83" s="72"/>
      <c r="O83" s="101"/>
      <c r="P83" s="101"/>
      <c r="Q83" s="72">
        <f t="shared" si="14"/>
        <v>0</v>
      </c>
    </row>
    <row r="84" spans="3:17" ht="15">
      <c r="C84" s="124">
        <v>6</v>
      </c>
      <c r="D84" s="101" t="s">
        <v>433</v>
      </c>
      <c r="E84" s="103"/>
      <c r="F84" s="101"/>
      <c r="G84" s="101">
        <v>15</v>
      </c>
      <c r="H84" s="101">
        <v>2019</v>
      </c>
      <c r="I84" s="101">
        <v>660</v>
      </c>
      <c r="J84" s="101">
        <f t="shared" si="12"/>
        <v>57.2</v>
      </c>
      <c r="K84" s="101">
        <f t="shared" si="13"/>
        <v>282.47999999999996</v>
      </c>
      <c r="L84" s="101"/>
      <c r="M84" s="101"/>
      <c r="N84" s="72"/>
      <c r="O84" s="101"/>
      <c r="P84" s="101"/>
      <c r="Q84" s="72">
        <f t="shared" si="14"/>
        <v>0</v>
      </c>
    </row>
    <row r="85" spans="3:17" ht="15">
      <c r="C85" s="124">
        <v>7</v>
      </c>
      <c r="D85" s="101" t="s">
        <v>434</v>
      </c>
      <c r="E85" s="103"/>
      <c r="F85" s="101"/>
      <c r="G85" s="101">
        <v>1</v>
      </c>
      <c r="H85" s="101">
        <v>2017</v>
      </c>
      <c r="I85" s="101">
        <v>260</v>
      </c>
      <c r="J85" s="101">
        <f t="shared" si="12"/>
        <v>85.80000000000001</v>
      </c>
      <c r="K85" s="101">
        <f aca="true" t="shared" si="15" ref="K85:K109">IF(J85=100,0,I85-I85*J85%)</f>
        <v>36.91999999999999</v>
      </c>
      <c r="L85" s="101"/>
      <c r="M85" s="101"/>
      <c r="N85" s="72"/>
      <c r="O85" s="101"/>
      <c r="P85" s="101"/>
      <c r="Q85" s="72">
        <f t="shared" si="14"/>
        <v>0</v>
      </c>
    </row>
    <row r="86" spans="3:17" ht="15">
      <c r="C86" s="124">
        <v>8</v>
      </c>
      <c r="D86" s="101" t="s">
        <v>435</v>
      </c>
      <c r="E86" s="103"/>
      <c r="F86" s="101"/>
      <c r="G86" s="101">
        <v>2</v>
      </c>
      <c r="H86" s="101">
        <v>2014</v>
      </c>
      <c r="I86" s="101">
        <v>273</v>
      </c>
      <c r="J86" s="101">
        <f t="shared" si="12"/>
        <v>100</v>
      </c>
      <c r="K86" s="101">
        <f t="shared" si="15"/>
        <v>0</v>
      </c>
      <c r="L86" s="101"/>
      <c r="M86" s="101"/>
      <c r="N86" s="72"/>
      <c r="O86" s="101"/>
      <c r="P86" s="101"/>
      <c r="Q86" s="72">
        <f t="shared" si="14"/>
        <v>0</v>
      </c>
    </row>
    <row r="87" spans="3:17" ht="15">
      <c r="C87" s="124">
        <v>9</v>
      </c>
      <c r="D87" s="101" t="s">
        <v>436</v>
      </c>
      <c r="E87" s="103"/>
      <c r="F87" s="101"/>
      <c r="G87" s="101">
        <v>8</v>
      </c>
      <c r="H87" s="101">
        <v>2021</v>
      </c>
      <c r="I87" s="101">
        <v>192</v>
      </c>
      <c r="J87" s="101">
        <f t="shared" si="12"/>
        <v>28.6</v>
      </c>
      <c r="K87" s="101">
        <f t="shared" si="15"/>
        <v>137.088</v>
      </c>
      <c r="L87" s="101"/>
      <c r="M87" s="101"/>
      <c r="N87" s="72"/>
      <c r="O87" s="101"/>
      <c r="P87" s="101"/>
      <c r="Q87" s="72">
        <f t="shared" si="14"/>
        <v>0</v>
      </c>
    </row>
    <row r="88" spans="3:17" ht="15">
      <c r="C88" s="124">
        <v>10</v>
      </c>
      <c r="D88" s="101" t="s">
        <v>437</v>
      </c>
      <c r="E88" s="103"/>
      <c r="F88" s="101"/>
      <c r="G88" s="101">
        <v>1</v>
      </c>
      <c r="H88" s="101">
        <v>1997</v>
      </c>
      <c r="I88" s="101">
        <v>20</v>
      </c>
      <c r="J88" s="101">
        <f t="shared" si="12"/>
        <v>100</v>
      </c>
      <c r="K88" s="101">
        <f t="shared" si="15"/>
        <v>0</v>
      </c>
      <c r="L88" s="101"/>
      <c r="M88" s="101"/>
      <c r="N88" s="72"/>
      <c r="O88" s="101"/>
      <c r="P88" s="101"/>
      <c r="Q88" s="72">
        <f t="shared" si="14"/>
        <v>0</v>
      </c>
    </row>
    <row r="89" spans="3:17" ht="15">
      <c r="C89" s="124">
        <v>11</v>
      </c>
      <c r="D89" s="101" t="s">
        <v>438</v>
      </c>
      <c r="E89" s="103"/>
      <c r="F89" s="101"/>
      <c r="G89" s="101">
        <v>1</v>
      </c>
      <c r="H89" s="101">
        <v>2021</v>
      </c>
      <c r="I89" s="101">
        <v>27</v>
      </c>
      <c r="J89" s="101">
        <f t="shared" si="12"/>
        <v>28.6</v>
      </c>
      <c r="K89" s="101">
        <f t="shared" si="15"/>
        <v>19.278</v>
      </c>
      <c r="L89" s="101"/>
      <c r="M89" s="101"/>
      <c r="N89" s="72"/>
      <c r="O89" s="101"/>
      <c r="P89" s="101"/>
      <c r="Q89" s="72">
        <f t="shared" si="14"/>
        <v>0</v>
      </c>
    </row>
    <row r="90" spans="3:17" ht="15">
      <c r="C90" s="124">
        <v>12</v>
      </c>
      <c r="D90" s="101" t="s">
        <v>438</v>
      </c>
      <c r="E90" s="103"/>
      <c r="F90" s="101"/>
      <c r="G90" s="101">
        <v>1</v>
      </c>
      <c r="H90" s="101">
        <v>2021</v>
      </c>
      <c r="I90" s="101">
        <v>47</v>
      </c>
      <c r="J90" s="101">
        <f t="shared" si="12"/>
        <v>28.6</v>
      </c>
      <c r="K90" s="101">
        <f t="shared" si="15"/>
        <v>33.558</v>
      </c>
      <c r="L90" s="101"/>
      <c r="M90" s="101"/>
      <c r="N90" s="72"/>
      <c r="O90" s="101"/>
      <c r="P90" s="101"/>
      <c r="Q90" s="72">
        <f t="shared" si="14"/>
        <v>0</v>
      </c>
    </row>
    <row r="91" spans="3:17" ht="15">
      <c r="C91" s="124">
        <v>13</v>
      </c>
      <c r="D91" s="101" t="s">
        <v>439</v>
      </c>
      <c r="E91" s="103"/>
      <c r="F91" s="101"/>
      <c r="G91" s="101">
        <v>2</v>
      </c>
      <c r="H91" s="101">
        <v>2013</v>
      </c>
      <c r="I91" s="101">
        <v>216</v>
      </c>
      <c r="J91" s="101">
        <f t="shared" si="12"/>
        <v>100</v>
      </c>
      <c r="K91" s="101">
        <f t="shared" si="15"/>
        <v>0</v>
      </c>
      <c r="L91" s="101"/>
      <c r="M91" s="101"/>
      <c r="N91" s="72"/>
      <c r="O91" s="101"/>
      <c r="P91" s="101"/>
      <c r="Q91" s="72">
        <f t="shared" si="14"/>
        <v>0</v>
      </c>
    </row>
    <row r="92" spans="3:17" ht="15">
      <c r="C92" s="124">
        <v>14</v>
      </c>
      <c r="D92" s="101" t="s">
        <v>440</v>
      </c>
      <c r="E92" s="103"/>
      <c r="F92" s="101"/>
      <c r="G92" s="101">
        <v>2</v>
      </c>
      <c r="H92" s="101">
        <v>2012</v>
      </c>
      <c r="I92" s="101">
        <v>88</v>
      </c>
      <c r="J92" s="101">
        <f t="shared" si="12"/>
        <v>100</v>
      </c>
      <c r="K92" s="101">
        <f t="shared" si="15"/>
        <v>0</v>
      </c>
      <c r="L92" s="101"/>
      <c r="M92" s="101"/>
      <c r="N92" s="72"/>
      <c r="O92" s="101"/>
      <c r="P92" s="101"/>
      <c r="Q92" s="72">
        <f t="shared" si="14"/>
        <v>0</v>
      </c>
    </row>
    <row r="93" spans="3:17" ht="15">
      <c r="C93" s="124">
        <v>15</v>
      </c>
      <c r="D93" s="101" t="s">
        <v>440</v>
      </c>
      <c r="E93" s="103"/>
      <c r="F93" s="101"/>
      <c r="G93" s="101">
        <v>1</v>
      </c>
      <c r="H93" s="101">
        <v>2012</v>
      </c>
      <c r="I93" s="101">
        <v>85</v>
      </c>
      <c r="J93" s="101">
        <f t="shared" si="12"/>
        <v>100</v>
      </c>
      <c r="K93" s="101">
        <f t="shared" si="15"/>
        <v>0</v>
      </c>
      <c r="L93" s="101"/>
      <c r="M93" s="101"/>
      <c r="N93" s="72"/>
      <c r="O93" s="101"/>
      <c r="P93" s="101"/>
      <c r="Q93" s="72">
        <f t="shared" si="14"/>
        <v>0</v>
      </c>
    </row>
    <row r="94" spans="3:17" ht="15">
      <c r="C94" s="124">
        <v>16</v>
      </c>
      <c r="D94" s="101" t="s">
        <v>441</v>
      </c>
      <c r="E94" s="103"/>
      <c r="F94" s="101"/>
      <c r="G94" s="101">
        <v>1</v>
      </c>
      <c r="H94" s="101">
        <v>2012</v>
      </c>
      <c r="I94" s="101">
        <v>2741</v>
      </c>
      <c r="J94" s="101">
        <f t="shared" si="12"/>
        <v>100</v>
      </c>
      <c r="K94" s="101">
        <f t="shared" si="15"/>
        <v>0</v>
      </c>
      <c r="L94" s="101"/>
      <c r="M94" s="101"/>
      <c r="N94" s="72"/>
      <c r="O94" s="101"/>
      <c r="P94" s="101"/>
      <c r="Q94" s="72">
        <f t="shared" si="14"/>
        <v>0</v>
      </c>
    </row>
    <row r="95" spans="3:17" ht="15">
      <c r="C95" s="124">
        <v>17</v>
      </c>
      <c r="D95" s="101" t="s">
        <v>442</v>
      </c>
      <c r="E95" s="103"/>
      <c r="F95" s="101"/>
      <c r="G95" s="101">
        <v>2</v>
      </c>
      <c r="H95" s="101">
        <v>2018</v>
      </c>
      <c r="I95" s="101">
        <v>240</v>
      </c>
      <c r="J95" s="101">
        <f t="shared" si="12"/>
        <v>71.5</v>
      </c>
      <c r="K95" s="101">
        <f t="shared" si="15"/>
        <v>68.4</v>
      </c>
      <c r="L95" s="101"/>
      <c r="M95" s="101"/>
      <c r="N95" s="72"/>
      <c r="O95" s="101"/>
      <c r="P95" s="101"/>
      <c r="Q95" s="72">
        <f t="shared" si="14"/>
        <v>0</v>
      </c>
    </row>
    <row r="96" spans="3:17" ht="15">
      <c r="C96" s="124">
        <v>18</v>
      </c>
      <c r="D96" s="101" t="s">
        <v>443</v>
      </c>
      <c r="E96" s="103"/>
      <c r="F96" s="101"/>
      <c r="G96" s="101">
        <v>1</v>
      </c>
      <c r="H96" s="101">
        <v>2008</v>
      </c>
      <c r="I96" s="101">
        <v>2292</v>
      </c>
      <c r="J96" s="101">
        <f t="shared" si="12"/>
        <v>100</v>
      </c>
      <c r="K96" s="101">
        <f t="shared" si="15"/>
        <v>0</v>
      </c>
      <c r="L96" s="101"/>
      <c r="M96" s="101"/>
      <c r="N96" s="72"/>
      <c r="O96" s="101"/>
      <c r="P96" s="101"/>
      <c r="Q96" s="72">
        <f t="shared" si="14"/>
        <v>0</v>
      </c>
    </row>
    <row r="97" spans="3:17" ht="15">
      <c r="C97" s="124">
        <v>19</v>
      </c>
      <c r="D97" s="101" t="s">
        <v>444</v>
      </c>
      <c r="E97" s="103"/>
      <c r="F97" s="101"/>
      <c r="G97" s="101">
        <v>1</v>
      </c>
      <c r="H97" s="101">
        <v>1997</v>
      </c>
      <c r="I97" s="101">
        <v>195</v>
      </c>
      <c r="J97" s="101">
        <f t="shared" si="12"/>
        <v>100</v>
      </c>
      <c r="K97" s="101">
        <f t="shared" si="15"/>
        <v>0</v>
      </c>
      <c r="L97" s="101"/>
      <c r="M97" s="101"/>
      <c r="N97" s="72"/>
      <c r="O97" s="101"/>
      <c r="P97" s="101"/>
      <c r="Q97" s="72">
        <f t="shared" si="14"/>
        <v>0</v>
      </c>
    </row>
    <row r="98" spans="3:17" ht="15">
      <c r="C98" s="124">
        <v>20</v>
      </c>
      <c r="D98" s="101" t="s">
        <v>445</v>
      </c>
      <c r="E98" s="103"/>
      <c r="F98" s="101"/>
      <c r="G98" s="101">
        <v>1</v>
      </c>
      <c r="H98" s="101">
        <v>1997</v>
      </c>
      <c r="I98" s="101">
        <v>2410</v>
      </c>
      <c r="J98" s="101">
        <f t="shared" si="12"/>
        <v>100</v>
      </c>
      <c r="K98" s="101">
        <f t="shared" si="15"/>
        <v>0</v>
      </c>
      <c r="L98" s="101"/>
      <c r="M98" s="101"/>
      <c r="N98" s="72"/>
      <c r="O98" s="101"/>
      <c r="P98" s="101"/>
      <c r="Q98" s="72">
        <f t="shared" si="14"/>
        <v>0</v>
      </c>
    </row>
    <row r="99" spans="3:17" ht="15">
      <c r="C99" s="124">
        <v>21</v>
      </c>
      <c r="D99" s="101" t="s">
        <v>446</v>
      </c>
      <c r="E99" s="103"/>
      <c r="F99" s="101"/>
      <c r="G99" s="101">
        <v>1</v>
      </c>
      <c r="H99" s="101">
        <v>1997</v>
      </c>
      <c r="I99" s="101">
        <v>390</v>
      </c>
      <c r="J99" s="101">
        <f t="shared" si="12"/>
        <v>100</v>
      </c>
      <c r="K99" s="101">
        <f t="shared" si="15"/>
        <v>0</v>
      </c>
      <c r="L99" s="101"/>
      <c r="M99" s="101"/>
      <c r="N99" s="72"/>
      <c r="O99" s="101"/>
      <c r="P99" s="101"/>
      <c r="Q99" s="72">
        <f t="shared" si="14"/>
        <v>0</v>
      </c>
    </row>
    <row r="100" spans="3:17" ht="15">
      <c r="C100" s="124">
        <v>22</v>
      </c>
      <c r="D100" s="101" t="s">
        <v>447</v>
      </c>
      <c r="E100" s="103"/>
      <c r="F100" s="101"/>
      <c r="G100" s="101">
        <v>1</v>
      </c>
      <c r="H100" s="101">
        <v>2012</v>
      </c>
      <c r="I100" s="101">
        <v>600</v>
      </c>
      <c r="J100" s="101">
        <f t="shared" si="12"/>
        <v>100</v>
      </c>
      <c r="K100" s="101">
        <f t="shared" si="15"/>
        <v>0</v>
      </c>
      <c r="L100" s="101"/>
      <c r="M100" s="101"/>
      <c r="N100" s="72"/>
      <c r="O100" s="101"/>
      <c r="P100" s="101"/>
      <c r="Q100" s="72">
        <f t="shared" si="14"/>
        <v>0</v>
      </c>
    </row>
    <row r="101" spans="3:17" ht="15">
      <c r="C101" s="124">
        <v>23</v>
      </c>
      <c r="D101" s="101" t="s">
        <v>448</v>
      </c>
      <c r="E101" s="103"/>
      <c r="F101" s="101"/>
      <c r="G101" s="101">
        <v>1</v>
      </c>
      <c r="H101" s="101">
        <v>2012</v>
      </c>
      <c r="I101" s="101">
        <v>220</v>
      </c>
      <c r="J101" s="101">
        <f t="shared" si="12"/>
        <v>100</v>
      </c>
      <c r="K101" s="101">
        <f t="shared" si="15"/>
        <v>0</v>
      </c>
      <c r="L101" s="101"/>
      <c r="M101" s="101"/>
      <c r="N101" s="72"/>
      <c r="O101" s="101"/>
      <c r="P101" s="101"/>
      <c r="Q101" s="72">
        <f t="shared" si="14"/>
        <v>0</v>
      </c>
    </row>
    <row r="102" spans="3:17" ht="15">
      <c r="C102" s="124">
        <v>24</v>
      </c>
      <c r="D102" s="101" t="s">
        <v>449</v>
      </c>
      <c r="E102" s="103"/>
      <c r="F102" s="101"/>
      <c r="G102" s="101">
        <v>1</v>
      </c>
      <c r="H102" s="101">
        <v>2008</v>
      </c>
      <c r="I102" s="101">
        <v>379</v>
      </c>
      <c r="J102" s="101">
        <f t="shared" si="12"/>
        <v>100</v>
      </c>
      <c r="K102" s="101">
        <f t="shared" si="15"/>
        <v>0</v>
      </c>
      <c r="L102" s="101"/>
      <c r="M102" s="101"/>
      <c r="N102" s="72"/>
      <c r="O102" s="101"/>
      <c r="P102" s="101"/>
      <c r="Q102" s="72">
        <f t="shared" si="14"/>
        <v>0</v>
      </c>
    </row>
    <row r="103" spans="3:17" ht="15">
      <c r="C103" s="124">
        <v>25</v>
      </c>
      <c r="D103" s="101" t="s">
        <v>450</v>
      </c>
      <c r="E103" s="103"/>
      <c r="F103" s="101"/>
      <c r="G103" s="101">
        <v>1</v>
      </c>
      <c r="H103" s="101">
        <v>2010</v>
      </c>
      <c r="I103" s="101">
        <v>700</v>
      </c>
      <c r="J103" s="101">
        <f t="shared" si="12"/>
        <v>100</v>
      </c>
      <c r="K103" s="101">
        <f t="shared" si="15"/>
        <v>0</v>
      </c>
      <c r="L103" s="101"/>
      <c r="M103" s="101"/>
      <c r="N103" s="72"/>
      <c r="O103" s="101"/>
      <c r="P103" s="101"/>
      <c r="Q103" s="72">
        <f t="shared" si="14"/>
        <v>0</v>
      </c>
    </row>
    <row r="104" spans="3:17" ht="15">
      <c r="C104" s="124">
        <v>26</v>
      </c>
      <c r="D104" s="101" t="s">
        <v>451</v>
      </c>
      <c r="E104" s="103"/>
      <c r="F104" s="101"/>
      <c r="G104" s="101">
        <v>1</v>
      </c>
      <c r="H104" s="101">
        <v>1997</v>
      </c>
      <c r="I104" s="101">
        <v>750</v>
      </c>
      <c r="J104" s="101">
        <f t="shared" si="12"/>
        <v>100</v>
      </c>
      <c r="K104" s="101">
        <f t="shared" si="15"/>
        <v>0</v>
      </c>
      <c r="L104" s="101"/>
      <c r="M104" s="101"/>
      <c r="N104" s="72"/>
      <c r="O104" s="101"/>
      <c r="P104" s="101"/>
      <c r="Q104" s="72">
        <f t="shared" si="14"/>
        <v>0</v>
      </c>
    </row>
    <row r="105" spans="3:17" ht="15">
      <c r="C105" s="124">
        <v>27</v>
      </c>
      <c r="D105" s="101" t="s">
        <v>452</v>
      </c>
      <c r="E105" s="103"/>
      <c r="F105" s="101"/>
      <c r="G105" s="101">
        <v>1</v>
      </c>
      <c r="H105" s="101">
        <v>1997</v>
      </c>
      <c r="I105" s="101">
        <v>125</v>
      </c>
      <c r="J105" s="101">
        <f t="shared" si="12"/>
        <v>100</v>
      </c>
      <c r="K105" s="101">
        <f t="shared" si="15"/>
        <v>0</v>
      </c>
      <c r="L105" s="101"/>
      <c r="M105" s="101"/>
      <c r="N105" s="72"/>
      <c r="O105" s="101"/>
      <c r="P105" s="101"/>
      <c r="Q105" s="72">
        <f t="shared" si="14"/>
        <v>0</v>
      </c>
    </row>
    <row r="106" spans="3:17" ht="15">
      <c r="C106" s="124">
        <v>28</v>
      </c>
      <c r="D106" s="101" t="s">
        <v>453</v>
      </c>
      <c r="E106" s="103"/>
      <c r="F106" s="101"/>
      <c r="G106" s="101">
        <v>1</v>
      </c>
      <c r="H106" s="101">
        <v>1997</v>
      </c>
      <c r="I106" s="101">
        <v>197</v>
      </c>
      <c r="J106" s="101">
        <f t="shared" si="12"/>
        <v>100</v>
      </c>
      <c r="K106" s="101">
        <f t="shared" si="15"/>
        <v>0</v>
      </c>
      <c r="L106" s="101"/>
      <c r="M106" s="101"/>
      <c r="N106" s="72"/>
      <c r="O106" s="101"/>
      <c r="P106" s="101"/>
      <c r="Q106" s="72">
        <f t="shared" si="14"/>
        <v>0</v>
      </c>
    </row>
    <row r="107" spans="3:17" ht="15">
      <c r="C107" s="124">
        <v>29</v>
      </c>
      <c r="D107" s="101" t="s">
        <v>454</v>
      </c>
      <c r="E107" s="103"/>
      <c r="F107" s="101"/>
      <c r="G107" s="101">
        <v>1</v>
      </c>
      <c r="H107" s="101">
        <v>1997</v>
      </c>
      <c r="I107" s="101">
        <v>8895</v>
      </c>
      <c r="J107" s="101">
        <f t="shared" si="12"/>
        <v>100</v>
      </c>
      <c r="K107" s="101">
        <f t="shared" si="15"/>
        <v>0</v>
      </c>
      <c r="L107" s="101"/>
      <c r="M107" s="101"/>
      <c r="N107" s="72"/>
      <c r="O107" s="101"/>
      <c r="P107" s="101"/>
      <c r="Q107" s="72">
        <f t="shared" si="14"/>
        <v>0</v>
      </c>
    </row>
    <row r="108" spans="3:17" ht="15">
      <c r="C108" s="124">
        <v>30</v>
      </c>
      <c r="D108" s="101" t="s">
        <v>455</v>
      </c>
      <c r="E108" s="103"/>
      <c r="F108" s="101"/>
      <c r="G108" s="101">
        <v>1</v>
      </c>
      <c r="H108" s="101">
        <v>1999</v>
      </c>
      <c r="I108" s="101">
        <v>653</v>
      </c>
      <c r="J108" s="101">
        <f t="shared" si="12"/>
        <v>100</v>
      </c>
      <c r="K108" s="101">
        <f t="shared" si="15"/>
        <v>0</v>
      </c>
      <c r="L108" s="101"/>
      <c r="M108" s="101"/>
      <c r="N108" s="72"/>
      <c r="O108" s="101"/>
      <c r="P108" s="101"/>
      <c r="Q108" s="72">
        <f t="shared" si="14"/>
        <v>0</v>
      </c>
    </row>
    <row r="109" spans="3:17" ht="15">
      <c r="C109" s="124">
        <v>31</v>
      </c>
      <c r="D109" s="101" t="s">
        <v>456</v>
      </c>
      <c r="E109" s="103"/>
      <c r="F109" s="101"/>
      <c r="G109" s="101">
        <v>1</v>
      </c>
      <c r="H109" s="101">
        <v>1997</v>
      </c>
      <c r="I109" s="101">
        <v>685</v>
      </c>
      <c r="J109" s="101">
        <f t="shared" si="12"/>
        <v>100</v>
      </c>
      <c r="K109" s="101">
        <f t="shared" si="15"/>
        <v>0</v>
      </c>
      <c r="L109" s="101"/>
      <c r="M109" s="101"/>
      <c r="N109" s="72"/>
      <c r="O109" s="101"/>
      <c r="P109" s="101"/>
      <c r="Q109" s="72">
        <f t="shared" si="14"/>
        <v>0</v>
      </c>
    </row>
    <row r="110" spans="3:17" ht="15">
      <c r="C110" s="124">
        <v>32</v>
      </c>
      <c r="D110" s="101" t="s">
        <v>704</v>
      </c>
      <c r="E110" s="103"/>
      <c r="F110" s="101"/>
      <c r="G110" s="101"/>
      <c r="H110" s="101"/>
      <c r="I110" s="101"/>
      <c r="J110" s="101"/>
      <c r="K110" s="101">
        <f>IF(J110=100,0,I110-I110*J110%)</f>
        <v>0</v>
      </c>
      <c r="L110" s="101"/>
      <c r="M110" s="101"/>
      <c r="N110" s="72"/>
      <c r="O110" s="101">
        <v>40</v>
      </c>
      <c r="P110" s="101">
        <v>36.9</v>
      </c>
      <c r="Q110" s="72">
        <f t="shared" si="14"/>
        <v>1476</v>
      </c>
    </row>
    <row r="111" spans="3:17" ht="15">
      <c r="C111" s="124">
        <v>33</v>
      </c>
      <c r="D111" s="101" t="s">
        <v>705</v>
      </c>
      <c r="E111" s="103"/>
      <c r="F111" s="101"/>
      <c r="G111" s="101"/>
      <c r="H111" s="101"/>
      <c r="I111" s="101"/>
      <c r="J111" s="101"/>
      <c r="K111" s="101">
        <f>IF(J111=100,0,I111-I111*J111%)</f>
        <v>0</v>
      </c>
      <c r="L111" s="101"/>
      <c r="M111" s="101"/>
      <c r="N111" s="72"/>
      <c r="O111" s="101">
        <v>1</v>
      </c>
      <c r="P111" s="101">
        <v>38.7</v>
      </c>
      <c r="Q111" s="72">
        <f t="shared" si="14"/>
        <v>38.7</v>
      </c>
    </row>
    <row r="112" spans="3:17" ht="15">
      <c r="C112" s="124">
        <v>34</v>
      </c>
      <c r="D112" s="101" t="s">
        <v>706</v>
      </c>
      <c r="E112" s="103"/>
      <c r="F112" s="101"/>
      <c r="G112" s="101"/>
      <c r="H112" s="101"/>
      <c r="I112" s="101"/>
      <c r="J112" s="101"/>
      <c r="K112" s="101">
        <f>IF(J112=100,0,I112-I112*J112%)</f>
        <v>0</v>
      </c>
      <c r="L112" s="101"/>
      <c r="M112" s="101"/>
      <c r="N112" s="72"/>
      <c r="O112" s="101">
        <v>3</v>
      </c>
      <c r="P112" s="101">
        <v>23</v>
      </c>
      <c r="Q112" s="72">
        <f t="shared" si="14"/>
        <v>69</v>
      </c>
    </row>
    <row r="113" spans="1:17" ht="30" customHeight="1">
      <c r="A113" s="427"/>
      <c r="B113" s="427"/>
      <c r="C113" s="426">
        <v>619</v>
      </c>
      <c r="D113" s="410" t="s">
        <v>288</v>
      </c>
      <c r="E113" s="411">
        <v>8</v>
      </c>
      <c r="F113" s="101"/>
      <c r="G113" s="397">
        <f>SUM(G114:G116)</f>
        <v>0</v>
      </c>
      <c r="H113" s="101"/>
      <c r="I113" s="101"/>
      <c r="J113" s="432">
        <v>12.5</v>
      </c>
      <c r="K113" s="101"/>
      <c r="L113" s="397">
        <f>SUM(L114:L116)</f>
        <v>0</v>
      </c>
      <c r="M113" s="101"/>
      <c r="N113" s="397">
        <f>SUM(N114:N116)</f>
        <v>0</v>
      </c>
      <c r="O113" s="397">
        <f>SUM(O114:O116)</f>
        <v>16</v>
      </c>
      <c r="P113" s="101"/>
      <c r="Q113" s="397">
        <f>SUM(Q114:Q116)</f>
        <v>180</v>
      </c>
    </row>
    <row r="114" spans="3:17" ht="15">
      <c r="C114" s="124">
        <v>1</v>
      </c>
      <c r="D114" s="101" t="s">
        <v>692</v>
      </c>
      <c r="E114" s="103"/>
      <c r="F114" s="101"/>
      <c r="G114" s="101"/>
      <c r="H114" s="101"/>
      <c r="I114" s="101"/>
      <c r="J114" s="101">
        <f>IF(($J$14-H114)*J$113&gt;100,100,($J$14-H114)*J$113)</f>
        <v>100</v>
      </c>
      <c r="K114" s="101">
        <f>IF(J114=100,0,I114-I114*J114%)</f>
        <v>0</v>
      </c>
      <c r="L114" s="101"/>
      <c r="M114" s="101"/>
      <c r="N114" s="72">
        <f>+L114*M114</f>
        <v>0</v>
      </c>
      <c r="O114" s="101">
        <v>5</v>
      </c>
      <c r="P114" s="101">
        <v>10</v>
      </c>
      <c r="Q114" s="72">
        <f>+O114*P114</f>
        <v>50</v>
      </c>
    </row>
    <row r="115" spans="3:17" ht="15">
      <c r="C115" s="124">
        <v>2</v>
      </c>
      <c r="D115" s="101" t="s">
        <v>702</v>
      </c>
      <c r="E115" s="103"/>
      <c r="F115" s="101"/>
      <c r="G115" s="101"/>
      <c r="H115" s="101"/>
      <c r="I115" s="101"/>
      <c r="J115" s="101">
        <f>IF(($J$14-H115)*J$113&gt;100,100,($J$14-H115)*J$113)</f>
        <v>100</v>
      </c>
      <c r="K115" s="101">
        <f>IF(J115=100,0,I115-I115*J115%)</f>
        <v>0</v>
      </c>
      <c r="L115" s="101"/>
      <c r="M115" s="101"/>
      <c r="N115" s="72">
        <f>+L115*M115</f>
        <v>0</v>
      </c>
      <c r="O115" s="101">
        <v>1</v>
      </c>
      <c r="P115" s="101">
        <v>30</v>
      </c>
      <c r="Q115" s="72">
        <f>+O115*P115</f>
        <v>30</v>
      </c>
    </row>
    <row r="116" spans="3:17" ht="15">
      <c r="C116" s="124">
        <v>3</v>
      </c>
      <c r="D116" s="101" t="s">
        <v>703</v>
      </c>
      <c r="E116" s="103"/>
      <c r="F116" s="101"/>
      <c r="G116" s="101"/>
      <c r="H116" s="101"/>
      <c r="I116" s="101"/>
      <c r="J116" s="101">
        <f>IF(($J$14-H116)*J$113&gt;100,100,($J$14-H116)*J$113)</f>
        <v>100</v>
      </c>
      <c r="K116" s="101">
        <f>IF(J116=100,0,I116-I116*J116%)</f>
        <v>0</v>
      </c>
      <c r="L116" s="101"/>
      <c r="M116" s="101"/>
      <c r="N116" s="72"/>
      <c r="O116" s="101">
        <v>10</v>
      </c>
      <c r="P116" s="101">
        <v>10</v>
      </c>
      <c r="Q116" s="72">
        <f>+O116*P116</f>
        <v>100</v>
      </c>
    </row>
    <row r="117" spans="1:17" ht="32.25" customHeight="1">
      <c r="A117" s="428">
        <v>6</v>
      </c>
      <c r="B117" s="429">
        <v>62</v>
      </c>
      <c r="C117" s="414"/>
      <c r="D117" s="415" t="s">
        <v>291</v>
      </c>
      <c r="E117" s="416"/>
      <c r="F117" s="417"/>
      <c r="G117" s="430">
        <f>+G118+G249+G264+G321</f>
        <v>1019</v>
      </c>
      <c r="H117" s="418"/>
      <c r="I117" s="418"/>
      <c r="J117" s="418"/>
      <c r="K117" s="418"/>
      <c r="L117" s="430">
        <f>+L118+L249+L264+L321</f>
        <v>0</v>
      </c>
      <c r="M117" s="418"/>
      <c r="N117" s="419">
        <f>+N118+N249+N264+N321</f>
        <v>0</v>
      </c>
      <c r="O117" s="431">
        <f>SUM(O118:O120)</f>
        <v>0</v>
      </c>
      <c r="P117" s="418"/>
      <c r="Q117" s="419">
        <f>+Q118+Q249+Q264+Q321</f>
        <v>0</v>
      </c>
    </row>
    <row r="118" spans="1:17" ht="62.25">
      <c r="A118" s="427"/>
      <c r="B118" s="427"/>
      <c r="C118" s="426">
        <v>620</v>
      </c>
      <c r="D118" s="410" t="s">
        <v>293</v>
      </c>
      <c r="E118" s="411">
        <v>10</v>
      </c>
      <c r="F118" s="101"/>
      <c r="G118" s="397">
        <f>SUM(G119:G248)</f>
        <v>747</v>
      </c>
      <c r="H118" s="101"/>
      <c r="I118" s="101"/>
      <c r="J118" s="432">
        <v>10</v>
      </c>
      <c r="K118" s="101"/>
      <c r="L118" s="397">
        <f>SUM(L119:L121)</f>
        <v>0</v>
      </c>
      <c r="M118" s="101"/>
      <c r="N118" s="397">
        <f>SUM(N119:N121)</f>
        <v>0</v>
      </c>
      <c r="O118" s="397">
        <f>SUM(O119:O121)</f>
        <v>0</v>
      </c>
      <c r="P118" s="101"/>
      <c r="Q118" s="397">
        <f>SUM(Q119:Q121)</f>
        <v>0</v>
      </c>
    </row>
    <row r="119" spans="1:17" ht="15">
      <c r="A119" s="101"/>
      <c r="B119" s="101"/>
      <c r="C119" s="124">
        <v>1</v>
      </c>
      <c r="D119" s="101" t="s">
        <v>457</v>
      </c>
      <c r="E119" s="103"/>
      <c r="F119" s="101"/>
      <c r="G119" s="101">
        <v>2</v>
      </c>
      <c r="H119" s="101">
        <v>1997</v>
      </c>
      <c r="I119" s="101">
        <v>256</v>
      </c>
      <c r="J119" s="101">
        <f aca="true" t="shared" si="16" ref="J119:J150">IF(($J$14-H119)*J$113&gt;100,100,($J$14-H119)*J$113)</f>
        <v>100</v>
      </c>
      <c r="K119" s="101">
        <f aca="true" t="shared" si="17" ref="K119:K126">IF(J119=100,0,I119-I119*J119%)</f>
        <v>0</v>
      </c>
      <c r="L119" s="101"/>
      <c r="M119" s="101"/>
      <c r="N119" s="72">
        <f>+L119*M119</f>
        <v>0</v>
      </c>
      <c r="O119" s="101"/>
      <c r="P119" s="101"/>
      <c r="Q119" s="72">
        <f>+O119*P119</f>
        <v>0</v>
      </c>
    </row>
    <row r="120" spans="1:17" ht="15">
      <c r="A120" s="101"/>
      <c r="B120" s="101"/>
      <c r="C120" s="124">
        <v>2</v>
      </c>
      <c r="D120" s="101" t="s">
        <v>458</v>
      </c>
      <c r="E120" s="103"/>
      <c r="F120" s="101"/>
      <c r="G120" s="101">
        <v>18</v>
      </c>
      <c r="H120" s="101">
        <v>2020</v>
      </c>
      <c r="I120" s="101">
        <v>990</v>
      </c>
      <c r="J120" s="101">
        <f t="shared" si="16"/>
        <v>37.5</v>
      </c>
      <c r="K120" s="101">
        <f t="shared" si="17"/>
        <v>618.75</v>
      </c>
      <c r="L120" s="101"/>
      <c r="M120" s="101"/>
      <c r="N120" s="72">
        <f>+L120*M120</f>
        <v>0</v>
      </c>
      <c r="O120" s="101"/>
      <c r="P120" s="101"/>
      <c r="Q120" s="72">
        <f>+O120*P120</f>
        <v>0</v>
      </c>
    </row>
    <row r="121" spans="1:17" ht="15">
      <c r="A121" s="101"/>
      <c r="B121" s="101"/>
      <c r="C121" s="124">
        <v>3</v>
      </c>
      <c r="D121" s="101" t="s">
        <v>459</v>
      </c>
      <c r="E121" s="103"/>
      <c r="F121" s="101"/>
      <c r="G121" s="101">
        <v>30</v>
      </c>
      <c r="H121" s="101">
        <v>2018</v>
      </c>
      <c r="I121" s="101">
        <v>276</v>
      </c>
      <c r="J121" s="101">
        <f t="shared" si="16"/>
        <v>62.5</v>
      </c>
      <c r="K121" s="101">
        <f t="shared" si="17"/>
        <v>103.5</v>
      </c>
      <c r="L121" s="101"/>
      <c r="M121" s="101"/>
      <c r="N121" s="72">
        <f>+L121*M121</f>
        <v>0</v>
      </c>
      <c r="O121" s="101"/>
      <c r="P121" s="101"/>
      <c r="Q121" s="72">
        <f>+O121*P121</f>
        <v>0</v>
      </c>
    </row>
    <row r="122" spans="1:17" ht="15">
      <c r="A122" s="101"/>
      <c r="B122" s="101"/>
      <c r="C122" s="124">
        <v>4</v>
      </c>
      <c r="D122" s="101" t="s">
        <v>460</v>
      </c>
      <c r="E122" s="103"/>
      <c r="F122" s="101"/>
      <c r="G122" s="101">
        <v>2</v>
      </c>
      <c r="H122" s="101">
        <v>1998</v>
      </c>
      <c r="I122" s="101">
        <v>202</v>
      </c>
      <c r="J122" s="101">
        <f t="shared" si="16"/>
        <v>100</v>
      </c>
      <c r="K122" s="101">
        <f t="shared" si="17"/>
        <v>0</v>
      </c>
      <c r="L122" s="101"/>
      <c r="M122" s="101"/>
      <c r="N122" s="72"/>
      <c r="O122" s="101"/>
      <c r="P122" s="101"/>
      <c r="Q122" s="72"/>
    </row>
    <row r="123" spans="1:17" ht="15">
      <c r="A123" s="101"/>
      <c r="B123" s="101"/>
      <c r="C123" s="124">
        <v>5</v>
      </c>
      <c r="D123" s="101" t="s">
        <v>461</v>
      </c>
      <c r="E123" s="103"/>
      <c r="F123" s="101"/>
      <c r="G123" s="101">
        <v>6</v>
      </c>
      <c r="H123" s="101">
        <v>1997</v>
      </c>
      <c r="I123" s="101">
        <v>546</v>
      </c>
      <c r="J123" s="101">
        <f t="shared" si="16"/>
        <v>100</v>
      </c>
      <c r="K123" s="101">
        <f t="shared" si="17"/>
        <v>0</v>
      </c>
      <c r="L123" s="101"/>
      <c r="M123" s="101"/>
      <c r="N123" s="72"/>
      <c r="O123" s="101"/>
      <c r="P123" s="101"/>
      <c r="Q123" s="72"/>
    </row>
    <row r="124" spans="1:17" ht="15">
      <c r="A124" s="101"/>
      <c r="B124" s="101"/>
      <c r="C124" s="124">
        <v>6</v>
      </c>
      <c r="D124" s="101" t="s">
        <v>462</v>
      </c>
      <c r="E124" s="103"/>
      <c r="F124" s="101"/>
      <c r="G124" s="101">
        <v>8</v>
      </c>
      <c r="H124" s="101">
        <v>1996</v>
      </c>
      <c r="I124" s="101">
        <v>312</v>
      </c>
      <c r="J124" s="101">
        <f t="shared" si="16"/>
        <v>100</v>
      </c>
      <c r="K124" s="101">
        <f t="shared" si="17"/>
        <v>0</v>
      </c>
      <c r="L124" s="101"/>
      <c r="M124" s="101"/>
      <c r="N124" s="72"/>
      <c r="O124" s="101"/>
      <c r="P124" s="101"/>
      <c r="Q124" s="72"/>
    </row>
    <row r="125" spans="1:17" ht="15">
      <c r="A125" s="101"/>
      <c r="B125" s="101"/>
      <c r="C125" s="124">
        <v>7</v>
      </c>
      <c r="D125" s="101" t="s">
        <v>463</v>
      </c>
      <c r="E125" s="103"/>
      <c r="F125" s="101"/>
      <c r="G125" s="101">
        <v>20</v>
      </c>
      <c r="H125" s="101">
        <v>2018</v>
      </c>
      <c r="I125" s="101">
        <v>80</v>
      </c>
      <c r="J125" s="101">
        <f t="shared" si="16"/>
        <v>62.5</v>
      </c>
      <c r="K125" s="101">
        <f t="shared" si="17"/>
        <v>30</v>
      </c>
      <c r="L125" s="101"/>
      <c r="M125" s="101"/>
      <c r="N125" s="72"/>
      <c r="O125" s="101"/>
      <c r="P125" s="101"/>
      <c r="Q125" s="72"/>
    </row>
    <row r="126" spans="1:17" ht="15">
      <c r="A126" s="101"/>
      <c r="B126" s="101"/>
      <c r="C126" s="124">
        <v>8</v>
      </c>
      <c r="D126" s="101" t="s">
        <v>464</v>
      </c>
      <c r="E126" s="103"/>
      <c r="F126" s="101"/>
      <c r="G126" s="101">
        <v>1</v>
      </c>
      <c r="H126" s="101">
        <v>2011</v>
      </c>
      <c r="I126" s="101">
        <v>160</v>
      </c>
      <c r="J126" s="101">
        <f t="shared" si="16"/>
        <v>100</v>
      </c>
      <c r="K126" s="101">
        <f t="shared" si="17"/>
        <v>0</v>
      </c>
      <c r="L126" s="101"/>
      <c r="M126" s="101"/>
      <c r="N126" s="72"/>
      <c r="O126" s="101"/>
      <c r="P126" s="101"/>
      <c r="Q126" s="72"/>
    </row>
    <row r="127" spans="1:17" ht="15">
      <c r="A127" s="101"/>
      <c r="B127" s="101"/>
      <c r="C127" s="124">
        <v>9</v>
      </c>
      <c r="D127" s="101" t="s">
        <v>465</v>
      </c>
      <c r="E127" s="103"/>
      <c r="F127" s="101"/>
      <c r="G127" s="101">
        <v>3</v>
      </c>
      <c r="H127" s="101">
        <v>2020</v>
      </c>
      <c r="I127" s="101">
        <v>375</v>
      </c>
      <c r="J127" s="101">
        <f t="shared" si="16"/>
        <v>37.5</v>
      </c>
      <c r="K127" s="101">
        <f aca="true" t="shared" si="18" ref="K127:K132">IF(J127=100,0,I127-I127*J127%)</f>
        <v>234.375</v>
      </c>
      <c r="L127" s="101"/>
      <c r="M127" s="101"/>
      <c r="N127" s="72"/>
      <c r="O127" s="101"/>
      <c r="P127" s="101"/>
      <c r="Q127" s="72"/>
    </row>
    <row r="128" spans="1:17" ht="15">
      <c r="A128" s="101"/>
      <c r="B128" s="101"/>
      <c r="C128" s="124">
        <v>10</v>
      </c>
      <c r="D128" s="101" t="s">
        <v>465</v>
      </c>
      <c r="E128" s="103"/>
      <c r="F128" s="101"/>
      <c r="G128" s="101">
        <v>2</v>
      </c>
      <c r="H128" s="101">
        <v>2011</v>
      </c>
      <c r="I128" s="101">
        <v>128</v>
      </c>
      <c r="J128" s="101">
        <f t="shared" si="16"/>
        <v>100</v>
      </c>
      <c r="K128" s="101">
        <f t="shared" si="18"/>
        <v>0</v>
      </c>
      <c r="L128" s="101"/>
      <c r="M128" s="101"/>
      <c r="N128" s="72"/>
      <c r="O128" s="101"/>
      <c r="P128" s="101"/>
      <c r="Q128" s="72"/>
    </row>
    <row r="129" spans="1:17" ht="15">
      <c r="A129" s="101"/>
      <c r="B129" s="101"/>
      <c r="C129" s="124">
        <v>11</v>
      </c>
      <c r="D129" s="101" t="s">
        <v>465</v>
      </c>
      <c r="E129" s="103"/>
      <c r="F129" s="101"/>
      <c r="G129" s="101">
        <v>2</v>
      </c>
      <c r="H129" s="101">
        <v>2014</v>
      </c>
      <c r="I129" s="101">
        <v>120</v>
      </c>
      <c r="J129" s="101">
        <f t="shared" si="16"/>
        <v>100</v>
      </c>
      <c r="K129" s="101">
        <f t="shared" si="18"/>
        <v>0</v>
      </c>
      <c r="L129" s="101"/>
      <c r="M129" s="101"/>
      <c r="N129" s="72"/>
      <c r="O129" s="101"/>
      <c r="P129" s="101"/>
      <c r="Q129" s="72"/>
    </row>
    <row r="130" spans="1:17" ht="15">
      <c r="A130" s="101"/>
      <c r="B130" s="101"/>
      <c r="C130" s="124">
        <v>12</v>
      </c>
      <c r="D130" s="101" t="s">
        <v>465</v>
      </c>
      <c r="E130" s="103"/>
      <c r="F130" s="101"/>
      <c r="G130" s="101">
        <v>24</v>
      </c>
      <c r="H130" s="101">
        <v>2018</v>
      </c>
      <c r="I130" s="101">
        <v>393</v>
      </c>
      <c r="J130" s="101">
        <f t="shared" si="16"/>
        <v>62.5</v>
      </c>
      <c r="K130" s="101">
        <f t="shared" si="18"/>
        <v>147.375</v>
      </c>
      <c r="L130" s="101"/>
      <c r="M130" s="101"/>
      <c r="N130" s="72"/>
      <c r="O130" s="101"/>
      <c r="P130" s="101"/>
      <c r="Q130" s="72"/>
    </row>
    <row r="131" spans="1:17" ht="15">
      <c r="A131" s="101"/>
      <c r="B131" s="101"/>
      <c r="C131" s="124">
        <v>13</v>
      </c>
      <c r="D131" s="101" t="s">
        <v>465</v>
      </c>
      <c r="E131" s="103"/>
      <c r="F131" s="101"/>
      <c r="G131" s="101">
        <v>6</v>
      </c>
      <c r="H131" s="101">
        <v>2019</v>
      </c>
      <c r="I131" s="101">
        <v>117</v>
      </c>
      <c r="J131" s="101">
        <f t="shared" si="16"/>
        <v>50</v>
      </c>
      <c r="K131" s="101">
        <f t="shared" si="18"/>
        <v>58.5</v>
      </c>
      <c r="L131" s="101"/>
      <c r="M131" s="101"/>
      <c r="N131" s="72"/>
      <c r="O131" s="101"/>
      <c r="P131" s="101"/>
      <c r="Q131" s="72"/>
    </row>
    <row r="132" spans="1:17" ht="15">
      <c r="A132" s="101"/>
      <c r="B132" s="101"/>
      <c r="C132" s="124">
        <v>14</v>
      </c>
      <c r="D132" s="101" t="s">
        <v>465</v>
      </c>
      <c r="E132" s="103"/>
      <c r="F132" s="101"/>
      <c r="G132" s="101">
        <v>8</v>
      </c>
      <c r="H132" s="101">
        <v>2019</v>
      </c>
      <c r="I132" s="101">
        <v>558</v>
      </c>
      <c r="J132" s="101">
        <f t="shared" si="16"/>
        <v>50</v>
      </c>
      <c r="K132" s="101">
        <f t="shared" si="18"/>
        <v>279</v>
      </c>
      <c r="L132" s="101"/>
      <c r="M132" s="101"/>
      <c r="N132" s="72"/>
      <c r="O132" s="101"/>
      <c r="P132" s="101"/>
      <c r="Q132" s="72"/>
    </row>
    <row r="133" spans="1:17" ht="15">
      <c r="A133" s="101"/>
      <c r="B133" s="101"/>
      <c r="C133" s="124">
        <v>15</v>
      </c>
      <c r="D133" s="101" t="s">
        <v>465</v>
      </c>
      <c r="E133" s="103"/>
      <c r="F133" s="101"/>
      <c r="G133" s="101">
        <v>1</v>
      </c>
      <c r="H133" s="101">
        <v>2019</v>
      </c>
      <c r="I133" s="101">
        <v>70</v>
      </c>
      <c r="J133" s="101">
        <f t="shared" si="16"/>
        <v>50</v>
      </c>
      <c r="K133" s="101">
        <f aca="true" t="shared" si="19" ref="K133:K153">IF(J133=100,0,I133-I133*J133%)</f>
        <v>35</v>
      </c>
      <c r="L133" s="101"/>
      <c r="M133" s="101"/>
      <c r="N133" s="72"/>
      <c r="O133" s="101"/>
      <c r="P133" s="101"/>
      <c r="Q133" s="72"/>
    </row>
    <row r="134" spans="1:17" ht="15">
      <c r="A134" s="101"/>
      <c r="B134" s="101"/>
      <c r="C134" s="124">
        <v>16</v>
      </c>
      <c r="D134" s="101" t="s">
        <v>466</v>
      </c>
      <c r="E134" s="103"/>
      <c r="F134" s="101"/>
      <c r="G134" s="101">
        <v>1</v>
      </c>
      <c r="H134" s="101">
        <v>1996</v>
      </c>
      <c r="I134" s="101">
        <v>7080</v>
      </c>
      <c r="J134" s="101">
        <f t="shared" si="16"/>
        <v>100</v>
      </c>
      <c r="K134" s="101">
        <f t="shared" si="19"/>
        <v>0</v>
      </c>
      <c r="L134" s="101"/>
      <c r="M134" s="101"/>
      <c r="N134" s="72"/>
      <c r="O134" s="101"/>
      <c r="P134" s="101"/>
      <c r="Q134" s="72"/>
    </row>
    <row r="135" spans="1:17" ht="15">
      <c r="A135" s="101"/>
      <c r="B135" s="101"/>
      <c r="C135" s="124">
        <v>17</v>
      </c>
      <c r="D135" s="101" t="s">
        <v>467</v>
      </c>
      <c r="E135" s="103"/>
      <c r="F135" s="101"/>
      <c r="G135" s="101">
        <v>1</v>
      </c>
      <c r="H135" s="101">
        <v>1997</v>
      </c>
      <c r="I135" s="101">
        <v>95</v>
      </c>
      <c r="J135" s="101">
        <f t="shared" si="16"/>
        <v>100</v>
      </c>
      <c r="K135" s="101">
        <f t="shared" si="19"/>
        <v>0</v>
      </c>
      <c r="L135" s="101"/>
      <c r="M135" s="101"/>
      <c r="N135" s="72"/>
      <c r="O135" s="101"/>
      <c r="P135" s="101"/>
      <c r="Q135" s="72"/>
    </row>
    <row r="136" spans="1:17" ht="15">
      <c r="A136" s="101"/>
      <c r="B136" s="101"/>
      <c r="C136" s="124">
        <v>18</v>
      </c>
      <c r="D136" s="101" t="s">
        <v>468</v>
      </c>
      <c r="E136" s="103"/>
      <c r="F136" s="101"/>
      <c r="G136" s="101">
        <v>4</v>
      </c>
      <c r="H136" s="101">
        <v>1997</v>
      </c>
      <c r="I136" s="101">
        <v>433</v>
      </c>
      <c r="J136" s="101">
        <f t="shared" si="16"/>
        <v>100</v>
      </c>
      <c r="K136" s="101">
        <f t="shared" si="19"/>
        <v>0</v>
      </c>
      <c r="L136" s="101"/>
      <c r="M136" s="101"/>
      <c r="N136" s="72"/>
      <c r="O136" s="101"/>
      <c r="P136" s="101"/>
      <c r="Q136" s="72"/>
    </row>
    <row r="137" spans="1:17" ht="15">
      <c r="A137" s="101"/>
      <c r="B137" s="101"/>
      <c r="C137" s="124">
        <v>19</v>
      </c>
      <c r="D137" s="101" t="s">
        <v>469</v>
      </c>
      <c r="E137" s="103"/>
      <c r="F137" s="101"/>
      <c r="G137" s="101">
        <v>2</v>
      </c>
      <c r="H137" s="101">
        <v>1996</v>
      </c>
      <c r="I137" s="101">
        <v>153</v>
      </c>
      <c r="J137" s="101">
        <f t="shared" si="16"/>
        <v>100</v>
      </c>
      <c r="K137" s="101">
        <f t="shared" si="19"/>
        <v>0</v>
      </c>
      <c r="L137" s="101"/>
      <c r="M137" s="101"/>
      <c r="N137" s="72"/>
      <c r="O137" s="101"/>
      <c r="P137" s="101"/>
      <c r="Q137" s="72"/>
    </row>
    <row r="138" spans="1:17" ht="15">
      <c r="A138" s="101"/>
      <c r="B138" s="101"/>
      <c r="C138" s="124">
        <v>20</v>
      </c>
      <c r="D138" s="101" t="s">
        <v>470</v>
      </c>
      <c r="E138" s="103"/>
      <c r="F138" s="101"/>
      <c r="G138" s="101">
        <v>12</v>
      </c>
      <c r="H138" s="101">
        <v>2018</v>
      </c>
      <c r="I138" s="101">
        <v>616</v>
      </c>
      <c r="J138" s="101">
        <f t="shared" si="16"/>
        <v>62.5</v>
      </c>
      <c r="K138" s="101">
        <f t="shared" si="19"/>
        <v>231</v>
      </c>
      <c r="L138" s="101"/>
      <c r="M138" s="101"/>
      <c r="N138" s="72"/>
      <c r="O138" s="101"/>
      <c r="P138" s="101"/>
      <c r="Q138" s="72"/>
    </row>
    <row r="139" spans="1:17" ht="15">
      <c r="A139" s="101"/>
      <c r="B139" s="101"/>
      <c r="C139" s="124">
        <v>21</v>
      </c>
      <c r="D139" s="101" t="s">
        <v>471</v>
      </c>
      <c r="E139" s="103"/>
      <c r="F139" s="101"/>
      <c r="G139" s="101">
        <v>5</v>
      </c>
      <c r="H139" s="101">
        <v>2011</v>
      </c>
      <c r="I139" s="101">
        <v>174</v>
      </c>
      <c r="J139" s="101">
        <f t="shared" si="16"/>
        <v>100</v>
      </c>
      <c r="K139" s="101">
        <f t="shared" si="19"/>
        <v>0</v>
      </c>
      <c r="L139" s="101"/>
      <c r="M139" s="101"/>
      <c r="N139" s="72"/>
      <c r="O139" s="101"/>
      <c r="P139" s="101"/>
      <c r="Q139" s="72"/>
    </row>
    <row r="140" spans="1:17" ht="15">
      <c r="A140" s="101"/>
      <c r="B140" s="101"/>
      <c r="C140" s="124">
        <v>22</v>
      </c>
      <c r="D140" s="101" t="s">
        <v>472</v>
      </c>
      <c r="E140" s="103"/>
      <c r="F140" s="101"/>
      <c r="G140" s="101">
        <v>9</v>
      </c>
      <c r="H140" s="101">
        <v>2002</v>
      </c>
      <c r="I140" s="101">
        <v>387</v>
      </c>
      <c r="J140" s="101">
        <f t="shared" si="16"/>
        <v>100</v>
      </c>
      <c r="K140" s="101">
        <f t="shared" si="19"/>
        <v>0</v>
      </c>
      <c r="L140" s="101"/>
      <c r="M140" s="101"/>
      <c r="N140" s="72"/>
      <c r="O140" s="101"/>
      <c r="P140" s="101"/>
      <c r="Q140" s="72"/>
    </row>
    <row r="141" spans="1:17" ht="15">
      <c r="A141" s="101"/>
      <c r="B141" s="101"/>
      <c r="C141" s="124">
        <v>23</v>
      </c>
      <c r="D141" s="101" t="s">
        <v>473</v>
      </c>
      <c r="E141" s="103"/>
      <c r="F141" s="101"/>
      <c r="G141" s="101">
        <v>8</v>
      </c>
      <c r="H141" s="101">
        <v>1996</v>
      </c>
      <c r="I141" s="101">
        <v>3072</v>
      </c>
      <c r="J141" s="101">
        <f t="shared" si="16"/>
        <v>100</v>
      </c>
      <c r="K141" s="101">
        <f t="shared" si="19"/>
        <v>0</v>
      </c>
      <c r="L141" s="101"/>
      <c r="M141" s="101"/>
      <c r="N141" s="72"/>
      <c r="O141" s="101"/>
      <c r="P141" s="101"/>
      <c r="Q141" s="72"/>
    </row>
    <row r="142" spans="1:17" ht="15">
      <c r="A142" s="101"/>
      <c r="B142" s="101"/>
      <c r="C142" s="124">
        <v>24</v>
      </c>
      <c r="D142" s="101" t="s">
        <v>474</v>
      </c>
      <c r="E142" s="103"/>
      <c r="F142" s="101"/>
      <c r="G142" s="101">
        <v>1</v>
      </c>
      <c r="H142" s="101">
        <v>1996</v>
      </c>
      <c r="I142" s="101">
        <v>420</v>
      </c>
      <c r="J142" s="101">
        <f t="shared" si="16"/>
        <v>100</v>
      </c>
      <c r="K142" s="101">
        <f t="shared" si="19"/>
        <v>0</v>
      </c>
      <c r="L142" s="101"/>
      <c r="M142" s="101"/>
      <c r="N142" s="72"/>
      <c r="O142" s="101"/>
      <c r="P142" s="101"/>
      <c r="Q142" s="72"/>
    </row>
    <row r="143" spans="1:17" ht="15">
      <c r="A143" s="101"/>
      <c r="B143" s="101"/>
      <c r="C143" s="124">
        <v>25</v>
      </c>
      <c r="D143" s="101" t="s">
        <v>476</v>
      </c>
      <c r="E143" s="103"/>
      <c r="F143" s="101"/>
      <c r="G143" s="101">
        <v>1</v>
      </c>
      <c r="H143" s="101">
        <v>2011</v>
      </c>
      <c r="I143" s="101">
        <v>168</v>
      </c>
      <c r="J143" s="101">
        <f t="shared" si="16"/>
        <v>100</v>
      </c>
      <c r="K143" s="101">
        <f t="shared" si="19"/>
        <v>0</v>
      </c>
      <c r="L143" s="101"/>
      <c r="M143" s="101"/>
      <c r="N143" s="72"/>
      <c r="O143" s="101"/>
      <c r="P143" s="101"/>
      <c r="Q143" s="72"/>
    </row>
    <row r="144" spans="1:17" ht="15">
      <c r="A144" s="101"/>
      <c r="B144" s="101"/>
      <c r="C144" s="124">
        <v>26</v>
      </c>
      <c r="D144" s="101" t="s">
        <v>476</v>
      </c>
      <c r="E144" s="103"/>
      <c r="F144" s="101"/>
      <c r="G144" s="101">
        <v>4</v>
      </c>
      <c r="H144" s="101">
        <v>2019</v>
      </c>
      <c r="I144" s="101">
        <v>558</v>
      </c>
      <c r="J144" s="101">
        <f t="shared" si="16"/>
        <v>50</v>
      </c>
      <c r="K144" s="101">
        <f aca="true" t="shared" si="20" ref="K144:K151">IF(J144=100,0,I144-I144*J144%)</f>
        <v>279</v>
      </c>
      <c r="L144" s="101"/>
      <c r="M144" s="101"/>
      <c r="N144" s="72"/>
      <c r="O144" s="101"/>
      <c r="P144" s="101"/>
      <c r="Q144" s="72"/>
    </row>
    <row r="145" spans="1:17" ht="15">
      <c r="A145" s="101"/>
      <c r="B145" s="101"/>
      <c r="C145" s="124">
        <v>27</v>
      </c>
      <c r="D145" s="101" t="s">
        <v>477</v>
      </c>
      <c r="E145" s="103"/>
      <c r="F145" s="101"/>
      <c r="G145" s="101">
        <v>2</v>
      </c>
      <c r="H145" s="101">
        <v>1998</v>
      </c>
      <c r="I145" s="101">
        <v>789</v>
      </c>
      <c r="J145" s="101">
        <f t="shared" si="16"/>
        <v>100</v>
      </c>
      <c r="K145" s="101">
        <f t="shared" si="20"/>
        <v>0</v>
      </c>
      <c r="L145" s="101"/>
      <c r="M145" s="101"/>
      <c r="N145" s="72"/>
      <c r="O145" s="101"/>
      <c r="P145" s="101"/>
      <c r="Q145" s="72"/>
    </row>
    <row r="146" spans="1:17" ht="15">
      <c r="A146" s="101"/>
      <c r="B146" s="101"/>
      <c r="C146" s="124">
        <v>28</v>
      </c>
      <c r="D146" s="101" t="s">
        <v>478</v>
      </c>
      <c r="E146" s="103"/>
      <c r="F146" s="101"/>
      <c r="G146" s="101">
        <v>1</v>
      </c>
      <c r="H146" s="101">
        <v>1998</v>
      </c>
      <c r="I146" s="101">
        <v>251</v>
      </c>
      <c r="J146" s="101">
        <f t="shared" si="16"/>
        <v>100</v>
      </c>
      <c r="K146" s="101">
        <f t="shared" si="20"/>
        <v>0</v>
      </c>
      <c r="L146" s="101"/>
      <c r="M146" s="101"/>
      <c r="N146" s="72"/>
      <c r="O146" s="101"/>
      <c r="P146" s="101"/>
      <c r="Q146" s="72"/>
    </row>
    <row r="147" spans="1:17" ht="15">
      <c r="A147" s="101"/>
      <c r="B147" s="101"/>
      <c r="C147" s="124">
        <v>29</v>
      </c>
      <c r="D147" s="101" t="s">
        <v>479</v>
      </c>
      <c r="E147" s="103"/>
      <c r="F147" s="101"/>
      <c r="G147" s="101">
        <v>2</v>
      </c>
      <c r="H147" s="101">
        <v>1997</v>
      </c>
      <c r="I147" s="101">
        <v>320</v>
      </c>
      <c r="J147" s="101">
        <f t="shared" si="16"/>
        <v>100</v>
      </c>
      <c r="K147" s="101">
        <f t="shared" si="20"/>
        <v>0</v>
      </c>
      <c r="L147" s="101"/>
      <c r="M147" s="101"/>
      <c r="N147" s="72"/>
      <c r="O147" s="101"/>
      <c r="P147" s="101"/>
      <c r="Q147" s="72"/>
    </row>
    <row r="148" spans="1:17" ht="15">
      <c r="A148" s="101"/>
      <c r="B148" s="101"/>
      <c r="C148" s="124">
        <v>30</v>
      </c>
      <c r="D148" s="101" t="s">
        <v>480</v>
      </c>
      <c r="E148" s="103"/>
      <c r="F148" s="101"/>
      <c r="G148" s="101">
        <v>1</v>
      </c>
      <c r="H148" s="101">
        <v>2008</v>
      </c>
      <c r="I148" s="101">
        <v>110</v>
      </c>
      <c r="J148" s="101">
        <f t="shared" si="16"/>
        <v>100</v>
      </c>
      <c r="K148" s="101">
        <f t="shared" si="20"/>
        <v>0</v>
      </c>
      <c r="L148" s="101"/>
      <c r="M148" s="101"/>
      <c r="N148" s="72"/>
      <c r="O148" s="101"/>
      <c r="P148" s="101"/>
      <c r="Q148" s="72"/>
    </row>
    <row r="149" spans="1:17" ht="15">
      <c r="A149" s="101"/>
      <c r="B149" s="101"/>
      <c r="C149" s="124">
        <v>31</v>
      </c>
      <c r="D149" s="101" t="s">
        <v>481</v>
      </c>
      <c r="E149" s="103"/>
      <c r="F149" s="101"/>
      <c r="G149" s="101">
        <v>1</v>
      </c>
      <c r="H149" s="101">
        <v>2007</v>
      </c>
      <c r="I149" s="101">
        <v>70</v>
      </c>
      <c r="J149" s="101">
        <f t="shared" si="16"/>
        <v>100</v>
      </c>
      <c r="K149" s="101">
        <f t="shared" si="20"/>
        <v>0</v>
      </c>
      <c r="L149" s="101"/>
      <c r="M149" s="101"/>
      <c r="N149" s="72"/>
      <c r="O149" s="101"/>
      <c r="P149" s="101"/>
      <c r="Q149" s="72"/>
    </row>
    <row r="150" spans="1:17" ht="15">
      <c r="A150" s="101"/>
      <c r="B150" s="101"/>
      <c r="C150" s="124">
        <v>32</v>
      </c>
      <c r="D150" s="101" t="s">
        <v>482</v>
      </c>
      <c r="E150" s="103"/>
      <c r="F150" s="101"/>
      <c r="G150" s="101">
        <v>1</v>
      </c>
      <c r="H150" s="101">
        <v>1996</v>
      </c>
      <c r="I150" s="101">
        <v>45</v>
      </c>
      <c r="J150" s="101">
        <f t="shared" si="16"/>
        <v>100</v>
      </c>
      <c r="K150" s="101">
        <f t="shared" si="20"/>
        <v>0</v>
      </c>
      <c r="L150" s="101"/>
      <c r="M150" s="101"/>
      <c r="N150" s="72"/>
      <c r="O150" s="101"/>
      <c r="P150" s="101"/>
      <c r="Q150" s="72"/>
    </row>
    <row r="151" spans="1:17" ht="15">
      <c r="A151" s="101"/>
      <c r="B151" s="101"/>
      <c r="C151" s="124">
        <v>33</v>
      </c>
      <c r="D151" s="101" t="s">
        <v>483</v>
      </c>
      <c r="E151" s="103"/>
      <c r="F151" s="101"/>
      <c r="G151" s="101">
        <v>8</v>
      </c>
      <c r="H151" s="101">
        <v>1996</v>
      </c>
      <c r="I151" s="101">
        <v>768</v>
      </c>
      <c r="J151" s="101">
        <f aca="true" t="shared" si="21" ref="J151:J182">IF(($J$14-H151)*J$113&gt;100,100,($J$14-H151)*J$113)</f>
        <v>100</v>
      </c>
      <c r="K151" s="101">
        <f t="shared" si="20"/>
        <v>0</v>
      </c>
      <c r="L151" s="101"/>
      <c r="M151" s="101"/>
      <c r="N151" s="72"/>
      <c r="O151" s="101"/>
      <c r="P151" s="101"/>
      <c r="Q151" s="72"/>
    </row>
    <row r="152" spans="1:17" ht="15">
      <c r="A152" s="101"/>
      <c r="B152" s="101"/>
      <c r="C152" s="124">
        <v>34</v>
      </c>
      <c r="D152" s="101" t="s">
        <v>475</v>
      </c>
      <c r="E152" s="103"/>
      <c r="F152" s="101"/>
      <c r="G152" s="101">
        <v>10</v>
      </c>
      <c r="H152" s="101">
        <v>2021</v>
      </c>
      <c r="I152" s="101">
        <v>298</v>
      </c>
      <c r="J152" s="101">
        <f t="shared" si="21"/>
        <v>25</v>
      </c>
      <c r="K152" s="101">
        <f t="shared" si="19"/>
        <v>223.5</v>
      </c>
      <c r="L152" s="101"/>
      <c r="M152" s="101"/>
      <c r="N152" s="72"/>
      <c r="O152" s="101"/>
      <c r="P152" s="101"/>
      <c r="Q152" s="72"/>
    </row>
    <row r="153" spans="1:17" ht="15">
      <c r="A153" s="101"/>
      <c r="B153" s="101"/>
      <c r="C153" s="124">
        <v>35</v>
      </c>
      <c r="D153" s="101" t="s">
        <v>483</v>
      </c>
      <c r="E153" s="103"/>
      <c r="F153" s="101"/>
      <c r="G153" s="101">
        <v>10</v>
      </c>
      <c r="H153" s="101">
        <v>2019</v>
      </c>
      <c r="I153" s="101">
        <v>900</v>
      </c>
      <c r="J153" s="101">
        <f t="shared" si="21"/>
        <v>50</v>
      </c>
      <c r="K153" s="101">
        <f t="shared" si="19"/>
        <v>450</v>
      </c>
      <c r="L153" s="101"/>
      <c r="M153" s="101"/>
      <c r="N153" s="72"/>
      <c r="O153" s="101"/>
      <c r="P153" s="101"/>
      <c r="Q153" s="72"/>
    </row>
    <row r="154" spans="1:17" ht="15">
      <c r="A154" s="101"/>
      <c r="B154" s="101"/>
      <c r="C154" s="124">
        <v>36</v>
      </c>
      <c r="D154" s="101" t="s">
        <v>484</v>
      </c>
      <c r="E154" s="103"/>
      <c r="F154" s="101"/>
      <c r="G154" s="101">
        <v>2</v>
      </c>
      <c r="H154" s="101">
        <v>2011</v>
      </c>
      <c r="I154" s="101">
        <v>160</v>
      </c>
      <c r="J154" s="101">
        <f t="shared" si="21"/>
        <v>100</v>
      </c>
      <c r="K154" s="101">
        <f aca="true" t="shared" si="22" ref="K154:K165">IF(J154=100,0,I154-I154*J154%)</f>
        <v>0</v>
      </c>
      <c r="L154" s="101"/>
      <c r="M154" s="101"/>
      <c r="N154" s="72"/>
      <c r="O154" s="101"/>
      <c r="P154" s="101"/>
      <c r="Q154" s="72"/>
    </row>
    <row r="155" spans="1:17" ht="15">
      <c r="A155" s="101"/>
      <c r="B155" s="101"/>
      <c r="C155" s="124">
        <v>37</v>
      </c>
      <c r="D155" s="101" t="s">
        <v>485</v>
      </c>
      <c r="E155" s="103"/>
      <c r="F155" s="101"/>
      <c r="G155" s="101">
        <v>1</v>
      </c>
      <c r="H155" s="101">
        <v>1996</v>
      </c>
      <c r="I155" s="101">
        <v>198</v>
      </c>
      <c r="J155" s="101">
        <f t="shared" si="21"/>
        <v>100</v>
      </c>
      <c r="K155" s="101">
        <f t="shared" si="22"/>
        <v>0</v>
      </c>
      <c r="L155" s="101"/>
      <c r="M155" s="101"/>
      <c r="N155" s="72"/>
      <c r="O155" s="101"/>
      <c r="P155" s="101"/>
      <c r="Q155" s="72"/>
    </row>
    <row r="156" spans="1:17" ht="15">
      <c r="A156" s="101"/>
      <c r="B156" s="101"/>
      <c r="C156" s="124">
        <v>38</v>
      </c>
      <c r="D156" s="101" t="s">
        <v>486</v>
      </c>
      <c r="E156" s="103"/>
      <c r="F156" s="101"/>
      <c r="G156" s="101">
        <v>8</v>
      </c>
      <c r="H156" s="101">
        <v>2006</v>
      </c>
      <c r="I156" s="101">
        <v>328</v>
      </c>
      <c r="J156" s="101">
        <f t="shared" si="21"/>
        <v>100</v>
      </c>
      <c r="K156" s="101">
        <f t="shared" si="22"/>
        <v>0</v>
      </c>
      <c r="L156" s="101"/>
      <c r="M156" s="101"/>
      <c r="N156" s="72"/>
      <c r="O156" s="101"/>
      <c r="P156" s="101"/>
      <c r="Q156" s="72"/>
    </row>
    <row r="157" spans="1:17" ht="15">
      <c r="A157" s="101"/>
      <c r="B157" s="101"/>
      <c r="C157" s="124">
        <v>39</v>
      </c>
      <c r="D157" s="101" t="s">
        <v>486</v>
      </c>
      <c r="E157" s="103"/>
      <c r="F157" s="101"/>
      <c r="G157" s="101">
        <v>2</v>
      </c>
      <c r="H157" s="101">
        <v>2008</v>
      </c>
      <c r="I157" s="101">
        <v>390</v>
      </c>
      <c r="J157" s="101">
        <f t="shared" si="21"/>
        <v>100</v>
      </c>
      <c r="K157" s="101">
        <f t="shared" si="22"/>
        <v>0</v>
      </c>
      <c r="L157" s="101"/>
      <c r="M157" s="101"/>
      <c r="N157" s="72"/>
      <c r="O157" s="101"/>
      <c r="P157" s="101"/>
      <c r="Q157" s="72"/>
    </row>
    <row r="158" spans="1:17" ht="15">
      <c r="A158" s="101"/>
      <c r="B158" s="101"/>
      <c r="C158" s="124">
        <v>40</v>
      </c>
      <c r="D158" s="101" t="s">
        <v>486</v>
      </c>
      <c r="E158" s="103"/>
      <c r="F158" s="101"/>
      <c r="G158" s="101">
        <v>11</v>
      </c>
      <c r="H158" s="101">
        <v>2011</v>
      </c>
      <c r="I158" s="101">
        <v>805</v>
      </c>
      <c r="J158" s="101">
        <f t="shared" si="21"/>
        <v>100</v>
      </c>
      <c r="K158" s="101">
        <f t="shared" si="22"/>
        <v>0</v>
      </c>
      <c r="L158" s="101"/>
      <c r="M158" s="101"/>
      <c r="N158" s="72"/>
      <c r="O158" s="101"/>
      <c r="P158" s="101"/>
      <c r="Q158" s="72"/>
    </row>
    <row r="159" spans="1:17" ht="15">
      <c r="A159" s="101"/>
      <c r="B159" s="101"/>
      <c r="C159" s="124">
        <v>41</v>
      </c>
      <c r="D159" s="101" t="s">
        <v>486</v>
      </c>
      <c r="E159" s="103"/>
      <c r="F159" s="101"/>
      <c r="G159" s="101">
        <v>10</v>
      </c>
      <c r="H159" s="101">
        <v>2018</v>
      </c>
      <c r="I159" s="101">
        <v>342</v>
      </c>
      <c r="J159" s="101">
        <f t="shared" si="21"/>
        <v>62.5</v>
      </c>
      <c r="K159" s="101">
        <f t="shared" si="22"/>
        <v>128.25</v>
      </c>
      <c r="L159" s="101"/>
      <c r="M159" s="101"/>
      <c r="N159" s="72"/>
      <c r="O159" s="101"/>
      <c r="P159" s="101"/>
      <c r="Q159" s="72"/>
    </row>
    <row r="160" spans="1:17" ht="15">
      <c r="A160" s="101"/>
      <c r="B160" s="101"/>
      <c r="C160" s="124">
        <v>42</v>
      </c>
      <c r="D160" s="101" t="s">
        <v>487</v>
      </c>
      <c r="E160" s="103"/>
      <c r="F160" s="101"/>
      <c r="G160" s="101">
        <v>1</v>
      </c>
      <c r="H160" s="101">
        <v>1996</v>
      </c>
      <c r="I160" s="101">
        <v>8</v>
      </c>
      <c r="J160" s="101">
        <f t="shared" si="21"/>
        <v>100</v>
      </c>
      <c r="K160" s="101">
        <f t="shared" si="22"/>
        <v>0</v>
      </c>
      <c r="L160" s="101"/>
      <c r="M160" s="101"/>
      <c r="N160" s="72"/>
      <c r="O160" s="101"/>
      <c r="P160" s="101"/>
      <c r="Q160" s="72"/>
    </row>
    <row r="161" spans="1:17" ht="15">
      <c r="A161" s="101"/>
      <c r="B161" s="101"/>
      <c r="C161" s="124">
        <v>43</v>
      </c>
      <c r="D161" s="101" t="s">
        <v>488</v>
      </c>
      <c r="E161" s="103"/>
      <c r="F161" s="101"/>
      <c r="G161" s="101">
        <v>2</v>
      </c>
      <c r="H161" s="101">
        <v>2021</v>
      </c>
      <c r="I161" s="101">
        <v>159</v>
      </c>
      <c r="J161" s="101">
        <f t="shared" si="21"/>
        <v>25</v>
      </c>
      <c r="K161" s="101">
        <f t="shared" si="22"/>
        <v>119.25</v>
      </c>
      <c r="L161" s="101"/>
      <c r="M161" s="101"/>
      <c r="N161" s="72"/>
      <c r="O161" s="101"/>
      <c r="P161" s="101"/>
      <c r="Q161" s="72"/>
    </row>
    <row r="162" spans="1:17" ht="15">
      <c r="A162" s="101"/>
      <c r="B162" s="101"/>
      <c r="C162" s="124">
        <v>44</v>
      </c>
      <c r="D162" s="101" t="s">
        <v>489</v>
      </c>
      <c r="E162" s="103"/>
      <c r="F162" s="101"/>
      <c r="G162" s="101">
        <v>7</v>
      </c>
      <c r="H162" s="101">
        <v>1996</v>
      </c>
      <c r="I162" s="101">
        <v>280</v>
      </c>
      <c r="J162" s="101">
        <f t="shared" si="21"/>
        <v>100</v>
      </c>
      <c r="K162" s="101">
        <f t="shared" si="22"/>
        <v>0</v>
      </c>
      <c r="L162" s="101"/>
      <c r="M162" s="101"/>
      <c r="N162" s="72"/>
      <c r="O162" s="101"/>
      <c r="P162" s="101"/>
      <c r="Q162" s="72"/>
    </row>
    <row r="163" spans="1:17" ht="15">
      <c r="A163" s="101"/>
      <c r="B163" s="101"/>
      <c r="C163" s="124">
        <v>45</v>
      </c>
      <c r="D163" s="101" t="s">
        <v>490</v>
      </c>
      <c r="E163" s="103"/>
      <c r="F163" s="101"/>
      <c r="G163" s="101">
        <v>3</v>
      </c>
      <c r="H163" s="101">
        <v>1996</v>
      </c>
      <c r="I163" s="101">
        <v>87</v>
      </c>
      <c r="J163" s="101">
        <f t="shared" si="21"/>
        <v>100</v>
      </c>
      <c r="K163" s="101">
        <f t="shared" si="22"/>
        <v>0</v>
      </c>
      <c r="L163" s="101"/>
      <c r="M163" s="101"/>
      <c r="N163" s="72"/>
      <c r="O163" s="101"/>
      <c r="P163" s="101"/>
      <c r="Q163" s="72"/>
    </row>
    <row r="164" spans="1:17" ht="15">
      <c r="A164" s="101"/>
      <c r="B164" s="101"/>
      <c r="C164" s="124">
        <v>46</v>
      </c>
      <c r="D164" s="101" t="s">
        <v>491</v>
      </c>
      <c r="E164" s="103"/>
      <c r="F164" s="101"/>
      <c r="G164" s="101">
        <v>4</v>
      </c>
      <c r="H164" s="101">
        <v>2019</v>
      </c>
      <c r="I164" s="101">
        <v>86</v>
      </c>
      <c r="J164" s="101">
        <f t="shared" si="21"/>
        <v>50</v>
      </c>
      <c r="K164" s="101">
        <f t="shared" si="22"/>
        <v>43</v>
      </c>
      <c r="L164" s="101"/>
      <c r="M164" s="101"/>
      <c r="N164" s="72"/>
      <c r="O164" s="101"/>
      <c r="P164" s="101"/>
      <c r="Q164" s="72"/>
    </row>
    <row r="165" spans="1:17" ht="15">
      <c r="A165" s="101"/>
      <c r="B165" s="101"/>
      <c r="C165" s="124">
        <v>47</v>
      </c>
      <c r="D165" s="101" t="s">
        <v>492</v>
      </c>
      <c r="E165" s="103"/>
      <c r="F165" s="101"/>
      <c r="G165" s="101">
        <v>2</v>
      </c>
      <c r="H165" s="101">
        <v>2019</v>
      </c>
      <c r="I165" s="101">
        <v>129</v>
      </c>
      <c r="J165" s="101">
        <f t="shared" si="21"/>
        <v>50</v>
      </c>
      <c r="K165" s="101">
        <f t="shared" si="22"/>
        <v>64.5</v>
      </c>
      <c r="L165" s="101"/>
      <c r="M165" s="101"/>
      <c r="N165" s="72"/>
      <c r="O165" s="101"/>
      <c r="P165" s="101"/>
      <c r="Q165" s="72"/>
    </row>
    <row r="166" spans="1:17" ht="15">
      <c r="A166" s="101"/>
      <c r="B166" s="101"/>
      <c r="C166" s="124">
        <v>48</v>
      </c>
      <c r="D166" s="101" t="s">
        <v>493</v>
      </c>
      <c r="E166" s="103"/>
      <c r="F166" s="101"/>
      <c r="G166" s="101">
        <v>2</v>
      </c>
      <c r="H166" s="101">
        <v>2020</v>
      </c>
      <c r="I166" s="101">
        <v>132</v>
      </c>
      <c r="J166" s="101">
        <f t="shared" si="21"/>
        <v>37.5</v>
      </c>
      <c r="K166" s="101">
        <f aca="true" t="shared" si="23" ref="K166:K185">IF(J166=100,0,I166-I166*J166%)</f>
        <v>82.5</v>
      </c>
      <c r="L166" s="101"/>
      <c r="M166" s="101"/>
      <c r="N166" s="72"/>
      <c r="O166" s="101"/>
      <c r="P166" s="101"/>
      <c r="Q166" s="72"/>
    </row>
    <row r="167" spans="1:17" ht="15">
      <c r="A167" s="101"/>
      <c r="B167" s="101"/>
      <c r="C167" s="124">
        <v>49</v>
      </c>
      <c r="D167" s="101" t="s">
        <v>494</v>
      </c>
      <c r="E167" s="103"/>
      <c r="F167" s="101"/>
      <c r="G167" s="101">
        <v>17</v>
      </c>
      <c r="H167" s="101">
        <v>2007</v>
      </c>
      <c r="I167" s="101">
        <v>964</v>
      </c>
      <c r="J167" s="101">
        <f t="shared" si="21"/>
        <v>100</v>
      </c>
      <c r="K167" s="101">
        <f t="shared" si="23"/>
        <v>0</v>
      </c>
      <c r="L167" s="101"/>
      <c r="M167" s="101"/>
      <c r="N167" s="72"/>
      <c r="O167" s="101"/>
      <c r="P167" s="101"/>
      <c r="Q167" s="72"/>
    </row>
    <row r="168" spans="1:17" ht="15">
      <c r="A168" s="101"/>
      <c r="B168" s="101"/>
      <c r="C168" s="124">
        <v>50</v>
      </c>
      <c r="D168" s="101" t="s">
        <v>495</v>
      </c>
      <c r="E168" s="103"/>
      <c r="F168" s="101"/>
      <c r="G168" s="101">
        <v>10</v>
      </c>
      <c r="H168" s="101">
        <v>2020</v>
      </c>
      <c r="I168" s="101">
        <v>450</v>
      </c>
      <c r="J168" s="101">
        <f t="shared" si="21"/>
        <v>37.5</v>
      </c>
      <c r="K168" s="101">
        <f t="shared" si="23"/>
        <v>281.25</v>
      </c>
      <c r="L168" s="101"/>
      <c r="M168" s="101"/>
      <c r="N168" s="72"/>
      <c r="O168" s="101"/>
      <c r="P168" s="101"/>
      <c r="Q168" s="72"/>
    </row>
    <row r="169" spans="1:17" ht="15">
      <c r="A169" s="101"/>
      <c r="B169" s="101"/>
      <c r="C169" s="124">
        <v>51</v>
      </c>
      <c r="D169" s="101" t="s">
        <v>496</v>
      </c>
      <c r="E169" s="103"/>
      <c r="F169" s="101"/>
      <c r="G169" s="101">
        <v>1</v>
      </c>
      <c r="H169" s="101">
        <v>2021</v>
      </c>
      <c r="I169" s="101">
        <v>39.9</v>
      </c>
      <c r="J169" s="101">
        <f t="shared" si="21"/>
        <v>25</v>
      </c>
      <c r="K169" s="101">
        <f t="shared" si="23"/>
        <v>29.924999999999997</v>
      </c>
      <c r="L169" s="101"/>
      <c r="M169" s="101"/>
      <c r="N169" s="72"/>
      <c r="O169" s="101"/>
      <c r="P169" s="101"/>
      <c r="Q169" s="72"/>
    </row>
    <row r="170" spans="1:17" ht="15">
      <c r="A170" s="101"/>
      <c r="B170" s="101"/>
      <c r="C170" s="124">
        <v>52</v>
      </c>
      <c r="D170" s="101" t="s">
        <v>497</v>
      </c>
      <c r="E170" s="103"/>
      <c r="F170" s="101"/>
      <c r="G170" s="101">
        <v>1</v>
      </c>
      <c r="H170" s="101">
        <v>2019</v>
      </c>
      <c r="I170" s="101">
        <v>45.5</v>
      </c>
      <c r="J170" s="101">
        <f t="shared" si="21"/>
        <v>50</v>
      </c>
      <c r="K170" s="101">
        <f t="shared" si="23"/>
        <v>22.75</v>
      </c>
      <c r="L170" s="101"/>
      <c r="M170" s="101"/>
      <c r="N170" s="72"/>
      <c r="O170" s="101"/>
      <c r="P170" s="101"/>
      <c r="Q170" s="72"/>
    </row>
    <row r="171" spans="1:17" ht="15">
      <c r="A171" s="101"/>
      <c r="B171" s="101"/>
      <c r="C171" s="124">
        <v>53</v>
      </c>
      <c r="D171" s="101" t="s">
        <v>498</v>
      </c>
      <c r="E171" s="103"/>
      <c r="F171" s="101"/>
      <c r="G171" s="101">
        <v>3</v>
      </c>
      <c r="H171" s="101">
        <v>1996</v>
      </c>
      <c r="I171" s="101">
        <v>102</v>
      </c>
      <c r="J171" s="101">
        <f t="shared" si="21"/>
        <v>100</v>
      </c>
      <c r="K171" s="101">
        <f t="shared" si="23"/>
        <v>0</v>
      </c>
      <c r="L171" s="101"/>
      <c r="M171" s="101"/>
      <c r="N171" s="72"/>
      <c r="O171" s="101"/>
      <c r="P171" s="101"/>
      <c r="Q171" s="72"/>
    </row>
    <row r="172" spans="1:17" ht="15">
      <c r="A172" s="101"/>
      <c r="B172" s="101"/>
      <c r="C172" s="124">
        <v>54</v>
      </c>
      <c r="D172" s="101" t="s">
        <v>499</v>
      </c>
      <c r="E172" s="103"/>
      <c r="F172" s="101"/>
      <c r="G172" s="101">
        <v>6</v>
      </c>
      <c r="H172" s="101">
        <v>2002</v>
      </c>
      <c r="I172" s="101">
        <v>400</v>
      </c>
      <c r="J172" s="101">
        <f t="shared" si="21"/>
        <v>100</v>
      </c>
      <c r="K172" s="101">
        <f t="shared" si="23"/>
        <v>0</v>
      </c>
      <c r="L172" s="101"/>
      <c r="M172" s="101"/>
      <c r="N172" s="72"/>
      <c r="O172" s="101"/>
      <c r="P172" s="101"/>
      <c r="Q172" s="72"/>
    </row>
    <row r="173" spans="1:17" ht="15">
      <c r="A173" s="101"/>
      <c r="B173" s="101"/>
      <c r="C173" s="124">
        <v>55</v>
      </c>
      <c r="D173" s="101" t="s">
        <v>500</v>
      </c>
      <c r="E173" s="103"/>
      <c r="F173" s="101"/>
      <c r="G173" s="101">
        <v>13</v>
      </c>
      <c r="H173" s="101">
        <v>2006</v>
      </c>
      <c r="I173" s="101">
        <v>660</v>
      </c>
      <c r="J173" s="101">
        <f t="shared" si="21"/>
        <v>100</v>
      </c>
      <c r="K173" s="101">
        <f t="shared" si="23"/>
        <v>0</v>
      </c>
      <c r="L173" s="101"/>
      <c r="M173" s="101"/>
      <c r="N173" s="72"/>
      <c r="O173" s="101"/>
      <c r="P173" s="101"/>
      <c r="Q173" s="72"/>
    </row>
    <row r="174" spans="1:17" ht="15">
      <c r="A174" s="101"/>
      <c r="B174" s="101"/>
      <c r="C174" s="124">
        <v>56</v>
      </c>
      <c r="D174" s="101" t="s">
        <v>501</v>
      </c>
      <c r="E174" s="103"/>
      <c r="F174" s="101"/>
      <c r="G174" s="101">
        <v>2</v>
      </c>
      <c r="H174" s="101">
        <v>2018</v>
      </c>
      <c r="I174" s="101">
        <v>75</v>
      </c>
      <c r="J174" s="101">
        <f t="shared" si="21"/>
        <v>62.5</v>
      </c>
      <c r="K174" s="101">
        <f t="shared" si="23"/>
        <v>28.125</v>
      </c>
      <c r="L174" s="101"/>
      <c r="M174" s="101"/>
      <c r="N174" s="72"/>
      <c r="O174" s="101"/>
      <c r="P174" s="101"/>
      <c r="Q174" s="72"/>
    </row>
    <row r="175" spans="1:17" ht="15">
      <c r="A175" s="101"/>
      <c r="B175" s="101"/>
      <c r="C175" s="124">
        <v>57</v>
      </c>
      <c r="D175" s="101" t="s">
        <v>502</v>
      </c>
      <c r="E175" s="103"/>
      <c r="F175" s="101"/>
      <c r="G175" s="101">
        <v>1</v>
      </c>
      <c r="H175" s="101">
        <v>2019</v>
      </c>
      <c r="I175" s="101">
        <v>2998</v>
      </c>
      <c r="J175" s="101">
        <f t="shared" si="21"/>
        <v>50</v>
      </c>
      <c r="K175" s="101">
        <f t="shared" si="23"/>
        <v>1499</v>
      </c>
      <c r="L175" s="101"/>
      <c r="M175" s="101"/>
      <c r="N175" s="72"/>
      <c r="O175" s="101"/>
      <c r="P175" s="101"/>
      <c r="Q175" s="72"/>
    </row>
    <row r="176" spans="1:17" ht="15">
      <c r="A176" s="101"/>
      <c r="B176" s="101"/>
      <c r="C176" s="124">
        <v>58</v>
      </c>
      <c r="D176" s="101" t="s">
        <v>503</v>
      </c>
      <c r="E176" s="103"/>
      <c r="F176" s="101"/>
      <c r="G176" s="101">
        <v>6</v>
      </c>
      <c r="H176" s="101">
        <v>2011</v>
      </c>
      <c r="I176" s="101">
        <v>960</v>
      </c>
      <c r="J176" s="101">
        <f t="shared" si="21"/>
        <v>100</v>
      </c>
      <c r="K176" s="101">
        <f t="shared" si="23"/>
        <v>0</v>
      </c>
      <c r="L176" s="101"/>
      <c r="M176" s="101"/>
      <c r="N176" s="72"/>
      <c r="O176" s="101"/>
      <c r="P176" s="101"/>
      <c r="Q176" s="72"/>
    </row>
    <row r="177" spans="1:17" ht="15">
      <c r="A177" s="101"/>
      <c r="B177" s="101"/>
      <c r="C177" s="124">
        <v>59</v>
      </c>
      <c r="D177" s="101" t="s">
        <v>504</v>
      </c>
      <c r="E177" s="103"/>
      <c r="F177" s="101"/>
      <c r="G177" s="101">
        <v>5</v>
      </c>
      <c r="H177" s="101">
        <v>2007</v>
      </c>
      <c r="I177" s="101">
        <v>175</v>
      </c>
      <c r="J177" s="101">
        <f t="shared" si="21"/>
        <v>100</v>
      </c>
      <c r="K177" s="101">
        <f t="shared" si="23"/>
        <v>0</v>
      </c>
      <c r="L177" s="101"/>
      <c r="M177" s="101"/>
      <c r="N177" s="72"/>
      <c r="O177" s="101"/>
      <c r="P177" s="101"/>
      <c r="Q177" s="72"/>
    </row>
    <row r="178" spans="1:17" ht="15">
      <c r="A178" s="101"/>
      <c r="B178" s="101"/>
      <c r="C178" s="124">
        <v>60</v>
      </c>
      <c r="D178" s="101" t="s">
        <v>505</v>
      </c>
      <c r="E178" s="103"/>
      <c r="F178" s="101"/>
      <c r="G178" s="101">
        <v>1</v>
      </c>
      <c r="H178" s="101">
        <v>2018</v>
      </c>
      <c r="I178" s="101">
        <v>200</v>
      </c>
      <c r="J178" s="101">
        <f t="shared" si="21"/>
        <v>62.5</v>
      </c>
      <c r="K178" s="101">
        <f t="shared" si="23"/>
        <v>75</v>
      </c>
      <c r="L178" s="101"/>
      <c r="M178" s="101"/>
      <c r="N178" s="72"/>
      <c r="O178" s="101"/>
      <c r="P178" s="101"/>
      <c r="Q178" s="72"/>
    </row>
    <row r="179" spans="1:17" ht="15">
      <c r="A179" s="101"/>
      <c r="B179" s="101"/>
      <c r="C179" s="124">
        <v>61</v>
      </c>
      <c r="D179" s="101" t="s">
        <v>506</v>
      </c>
      <c r="E179" s="103"/>
      <c r="F179" s="101"/>
      <c r="G179" s="101">
        <v>1</v>
      </c>
      <c r="H179" s="101">
        <v>1997</v>
      </c>
      <c r="I179" s="101">
        <v>8</v>
      </c>
      <c r="J179" s="101">
        <f t="shared" si="21"/>
        <v>100</v>
      </c>
      <c r="K179" s="101">
        <f t="shared" si="23"/>
        <v>0</v>
      </c>
      <c r="L179" s="101"/>
      <c r="M179" s="101"/>
      <c r="N179" s="72"/>
      <c r="O179" s="101"/>
      <c r="P179" s="101"/>
      <c r="Q179" s="72"/>
    </row>
    <row r="180" spans="1:17" ht="15">
      <c r="A180" s="101"/>
      <c r="B180" s="101"/>
      <c r="C180" s="124">
        <v>62</v>
      </c>
      <c r="D180" s="101" t="s">
        <v>507</v>
      </c>
      <c r="E180" s="103"/>
      <c r="F180" s="101"/>
      <c r="G180" s="101">
        <v>1</v>
      </c>
      <c r="H180" s="101">
        <v>2020</v>
      </c>
      <c r="I180" s="101">
        <v>78</v>
      </c>
      <c r="J180" s="101">
        <f t="shared" si="21"/>
        <v>37.5</v>
      </c>
      <c r="K180" s="101">
        <f t="shared" si="23"/>
        <v>48.75</v>
      </c>
      <c r="L180" s="101"/>
      <c r="M180" s="101"/>
      <c r="N180" s="72"/>
      <c r="O180" s="101"/>
      <c r="P180" s="101"/>
      <c r="Q180" s="72"/>
    </row>
    <row r="181" spans="1:17" ht="15">
      <c r="A181" s="101"/>
      <c r="B181" s="101"/>
      <c r="C181" s="124">
        <v>63</v>
      </c>
      <c r="D181" s="101" t="s">
        <v>508</v>
      </c>
      <c r="E181" s="103"/>
      <c r="F181" s="101"/>
      <c r="G181" s="101">
        <v>2</v>
      </c>
      <c r="H181" s="101">
        <v>2021</v>
      </c>
      <c r="I181" s="101">
        <v>159</v>
      </c>
      <c r="J181" s="101">
        <f t="shared" si="21"/>
        <v>25</v>
      </c>
      <c r="K181" s="101">
        <f t="shared" si="23"/>
        <v>119.25</v>
      </c>
      <c r="L181" s="101"/>
      <c r="M181" s="101"/>
      <c r="N181" s="72"/>
      <c r="O181" s="101"/>
      <c r="P181" s="101"/>
      <c r="Q181" s="72"/>
    </row>
    <row r="182" spans="1:17" ht="15">
      <c r="A182" s="101"/>
      <c r="B182" s="101"/>
      <c r="C182" s="124">
        <v>64</v>
      </c>
      <c r="D182" s="101" t="s">
        <v>509</v>
      </c>
      <c r="E182" s="103"/>
      <c r="F182" s="101"/>
      <c r="G182" s="101">
        <v>5</v>
      </c>
      <c r="H182" s="101">
        <v>2019</v>
      </c>
      <c r="I182" s="101">
        <v>249</v>
      </c>
      <c r="J182" s="101">
        <f t="shared" si="21"/>
        <v>50</v>
      </c>
      <c r="K182" s="101">
        <f t="shared" si="23"/>
        <v>124.5</v>
      </c>
      <c r="L182" s="101"/>
      <c r="M182" s="101"/>
      <c r="N182" s="72"/>
      <c r="O182" s="101"/>
      <c r="P182" s="101"/>
      <c r="Q182" s="72"/>
    </row>
    <row r="183" spans="1:17" ht="15">
      <c r="A183" s="101"/>
      <c r="B183" s="101"/>
      <c r="C183" s="124">
        <v>65</v>
      </c>
      <c r="D183" s="101" t="s">
        <v>510</v>
      </c>
      <c r="E183" s="103"/>
      <c r="F183" s="101"/>
      <c r="G183" s="101">
        <v>1</v>
      </c>
      <c r="H183" s="101">
        <v>2006</v>
      </c>
      <c r="I183" s="101">
        <v>147</v>
      </c>
      <c r="J183" s="101">
        <f aca="true" t="shared" si="24" ref="J183:J214">IF(($J$14-H183)*J$113&gt;100,100,($J$14-H183)*J$113)</f>
        <v>100</v>
      </c>
      <c r="K183" s="101">
        <f t="shared" si="23"/>
        <v>0</v>
      </c>
      <c r="L183" s="101"/>
      <c r="M183" s="101"/>
      <c r="N183" s="72"/>
      <c r="O183" s="101"/>
      <c r="P183" s="101"/>
      <c r="Q183" s="72"/>
    </row>
    <row r="184" spans="1:17" ht="15">
      <c r="A184" s="101"/>
      <c r="B184" s="101"/>
      <c r="C184" s="124">
        <v>66</v>
      </c>
      <c r="D184" s="101" t="s">
        <v>511</v>
      </c>
      <c r="E184" s="103"/>
      <c r="F184" s="101"/>
      <c r="G184" s="101">
        <v>12</v>
      </c>
      <c r="H184" s="101">
        <v>1998</v>
      </c>
      <c r="I184" s="101">
        <v>1008</v>
      </c>
      <c r="J184" s="101">
        <f t="shared" si="24"/>
        <v>100</v>
      </c>
      <c r="K184" s="101">
        <f t="shared" si="23"/>
        <v>0</v>
      </c>
      <c r="L184" s="101"/>
      <c r="M184" s="101"/>
      <c r="N184" s="72"/>
      <c r="O184" s="101"/>
      <c r="P184" s="101"/>
      <c r="Q184" s="72"/>
    </row>
    <row r="185" spans="1:17" ht="15">
      <c r="A185" s="101"/>
      <c r="B185" s="101"/>
      <c r="C185" s="124">
        <v>67</v>
      </c>
      <c r="D185" s="101" t="s">
        <v>512</v>
      </c>
      <c r="E185" s="103"/>
      <c r="F185" s="101"/>
      <c r="G185" s="101">
        <v>11</v>
      </c>
      <c r="H185" s="101">
        <v>1997</v>
      </c>
      <c r="I185" s="101">
        <v>660</v>
      </c>
      <c r="J185" s="101">
        <f t="shared" si="24"/>
        <v>100</v>
      </c>
      <c r="K185" s="101">
        <f t="shared" si="23"/>
        <v>0</v>
      </c>
      <c r="L185" s="101"/>
      <c r="M185" s="101"/>
      <c r="N185" s="72"/>
      <c r="O185" s="101"/>
      <c r="P185" s="101"/>
      <c r="Q185" s="72"/>
    </row>
    <row r="186" spans="1:17" ht="15">
      <c r="A186" s="101"/>
      <c r="B186" s="101"/>
      <c r="C186" s="124">
        <v>68</v>
      </c>
      <c r="D186" s="101" t="s">
        <v>512</v>
      </c>
      <c r="E186" s="103"/>
      <c r="F186" s="101"/>
      <c r="G186" s="101">
        <v>1</v>
      </c>
      <c r="H186" s="101">
        <v>1997</v>
      </c>
      <c r="I186" s="101">
        <v>100</v>
      </c>
      <c r="J186" s="101">
        <f t="shared" si="24"/>
        <v>100</v>
      </c>
      <c r="K186" s="101">
        <f aca="true" t="shared" si="25" ref="K186:K196">IF(J186=100,0,I186-I186*J186%)</f>
        <v>0</v>
      </c>
      <c r="L186" s="101"/>
      <c r="M186" s="101"/>
      <c r="N186" s="72"/>
      <c r="O186" s="101"/>
      <c r="P186" s="101"/>
      <c r="Q186" s="72"/>
    </row>
    <row r="187" spans="1:17" ht="15">
      <c r="A187" s="101"/>
      <c r="B187" s="101"/>
      <c r="C187" s="124">
        <v>69</v>
      </c>
      <c r="D187" s="101" t="s">
        <v>513</v>
      </c>
      <c r="E187" s="103"/>
      <c r="F187" s="101"/>
      <c r="G187" s="101">
        <v>5</v>
      </c>
      <c r="H187" s="101">
        <v>2007</v>
      </c>
      <c r="I187" s="101">
        <v>240</v>
      </c>
      <c r="J187" s="101">
        <f t="shared" si="24"/>
        <v>100</v>
      </c>
      <c r="K187" s="101">
        <f t="shared" si="25"/>
        <v>0</v>
      </c>
      <c r="L187" s="101"/>
      <c r="M187" s="101"/>
      <c r="N187" s="72"/>
      <c r="O187" s="101"/>
      <c r="P187" s="101"/>
      <c r="Q187" s="72"/>
    </row>
    <row r="188" spans="1:17" ht="15">
      <c r="A188" s="101"/>
      <c r="B188" s="101"/>
      <c r="C188" s="124">
        <v>70</v>
      </c>
      <c r="D188" s="101" t="s">
        <v>514</v>
      </c>
      <c r="E188" s="103"/>
      <c r="F188" s="101"/>
      <c r="G188" s="101">
        <v>9</v>
      </c>
      <c r="H188" s="101">
        <v>2018</v>
      </c>
      <c r="I188" s="101">
        <v>127</v>
      </c>
      <c r="J188" s="101">
        <f t="shared" si="24"/>
        <v>62.5</v>
      </c>
      <c r="K188" s="101">
        <f t="shared" si="25"/>
        <v>47.625</v>
      </c>
      <c r="L188" s="101"/>
      <c r="M188" s="101"/>
      <c r="N188" s="72"/>
      <c r="O188" s="101"/>
      <c r="P188" s="101"/>
      <c r="Q188" s="72"/>
    </row>
    <row r="189" spans="1:17" ht="15">
      <c r="A189" s="101"/>
      <c r="B189" s="101"/>
      <c r="C189" s="124">
        <v>71</v>
      </c>
      <c r="D189" s="101" t="s">
        <v>515</v>
      </c>
      <c r="E189" s="103"/>
      <c r="F189" s="101"/>
      <c r="G189" s="101">
        <v>1</v>
      </c>
      <c r="H189" s="101">
        <v>2021</v>
      </c>
      <c r="I189" s="101">
        <v>1817</v>
      </c>
      <c r="J189" s="101">
        <f t="shared" si="24"/>
        <v>25</v>
      </c>
      <c r="K189" s="101">
        <f t="shared" si="25"/>
        <v>1362.75</v>
      </c>
      <c r="L189" s="101"/>
      <c r="M189" s="101"/>
      <c r="N189" s="72"/>
      <c r="O189" s="101"/>
      <c r="P189" s="101"/>
      <c r="Q189" s="72"/>
    </row>
    <row r="190" spans="1:17" ht="15">
      <c r="A190" s="101"/>
      <c r="B190" s="101"/>
      <c r="C190" s="124">
        <v>72</v>
      </c>
      <c r="D190" s="101" t="s">
        <v>516</v>
      </c>
      <c r="E190" s="103"/>
      <c r="F190" s="101"/>
      <c r="G190" s="101">
        <v>1</v>
      </c>
      <c r="H190" s="101">
        <v>2006</v>
      </c>
      <c r="I190" s="101">
        <v>225</v>
      </c>
      <c r="J190" s="101">
        <f t="shared" si="24"/>
        <v>100</v>
      </c>
      <c r="K190" s="101">
        <f t="shared" si="25"/>
        <v>0</v>
      </c>
      <c r="L190" s="101"/>
      <c r="M190" s="101"/>
      <c r="N190" s="72"/>
      <c r="O190" s="101"/>
      <c r="P190" s="101"/>
      <c r="Q190" s="72"/>
    </row>
    <row r="191" spans="1:17" ht="15">
      <c r="A191" s="101"/>
      <c r="B191" s="101"/>
      <c r="C191" s="124">
        <v>73</v>
      </c>
      <c r="D191" s="101" t="s">
        <v>517</v>
      </c>
      <c r="E191" s="103"/>
      <c r="F191" s="101"/>
      <c r="G191" s="101">
        <v>1</v>
      </c>
      <c r="H191" s="101">
        <v>2001</v>
      </c>
      <c r="I191" s="101">
        <v>56</v>
      </c>
      <c r="J191" s="101">
        <f t="shared" si="24"/>
        <v>100</v>
      </c>
      <c r="K191" s="101">
        <f t="shared" si="25"/>
        <v>0</v>
      </c>
      <c r="L191" s="101"/>
      <c r="M191" s="101"/>
      <c r="N191" s="72"/>
      <c r="O191" s="101"/>
      <c r="P191" s="101"/>
      <c r="Q191" s="72"/>
    </row>
    <row r="192" spans="1:17" ht="15">
      <c r="A192" s="101"/>
      <c r="B192" s="101"/>
      <c r="C192" s="124">
        <v>74</v>
      </c>
      <c r="D192" s="101" t="s">
        <v>517</v>
      </c>
      <c r="E192" s="103"/>
      <c r="F192" s="101"/>
      <c r="G192" s="101">
        <v>2</v>
      </c>
      <c r="H192" s="101">
        <v>2006</v>
      </c>
      <c r="I192" s="101">
        <v>100</v>
      </c>
      <c r="J192" s="101">
        <f t="shared" si="24"/>
        <v>100</v>
      </c>
      <c r="K192" s="101">
        <f t="shared" si="25"/>
        <v>0</v>
      </c>
      <c r="L192" s="101"/>
      <c r="M192" s="101"/>
      <c r="N192" s="72"/>
      <c r="O192" s="101"/>
      <c r="P192" s="101"/>
      <c r="Q192" s="72"/>
    </row>
    <row r="193" spans="1:17" ht="15">
      <c r="A193" s="101"/>
      <c r="B193" s="101"/>
      <c r="C193" s="124">
        <v>75</v>
      </c>
      <c r="D193" s="101" t="s">
        <v>517</v>
      </c>
      <c r="E193" s="103"/>
      <c r="F193" s="101"/>
      <c r="G193" s="101">
        <v>6</v>
      </c>
      <c r="H193" s="101">
        <v>2008</v>
      </c>
      <c r="I193" s="101">
        <v>480</v>
      </c>
      <c r="J193" s="101">
        <f t="shared" si="24"/>
        <v>100</v>
      </c>
      <c r="K193" s="101">
        <f t="shared" si="25"/>
        <v>0</v>
      </c>
      <c r="L193" s="101"/>
      <c r="M193" s="101"/>
      <c r="N193" s="72"/>
      <c r="O193" s="101"/>
      <c r="P193" s="101"/>
      <c r="Q193" s="72"/>
    </row>
    <row r="194" spans="1:17" ht="15">
      <c r="A194" s="101"/>
      <c r="B194" s="101"/>
      <c r="C194" s="124">
        <v>76</v>
      </c>
      <c r="D194" s="101" t="s">
        <v>517</v>
      </c>
      <c r="E194" s="103"/>
      <c r="F194" s="101"/>
      <c r="G194" s="101">
        <v>1</v>
      </c>
      <c r="H194" s="101">
        <v>2014</v>
      </c>
      <c r="I194" s="101">
        <v>34</v>
      </c>
      <c r="J194" s="101">
        <f t="shared" si="24"/>
        <v>100</v>
      </c>
      <c r="K194" s="101">
        <f t="shared" si="25"/>
        <v>0</v>
      </c>
      <c r="L194" s="101"/>
      <c r="M194" s="101"/>
      <c r="N194" s="72"/>
      <c r="O194" s="101"/>
      <c r="P194" s="101"/>
      <c r="Q194" s="72"/>
    </row>
    <row r="195" spans="1:17" ht="15">
      <c r="A195" s="101"/>
      <c r="B195" s="101"/>
      <c r="C195" s="124">
        <v>77</v>
      </c>
      <c r="D195" s="101" t="s">
        <v>517</v>
      </c>
      <c r="E195" s="103"/>
      <c r="F195" s="101"/>
      <c r="G195" s="101">
        <v>4</v>
      </c>
      <c r="H195" s="101">
        <v>2014</v>
      </c>
      <c r="I195" s="101">
        <v>292</v>
      </c>
      <c r="J195" s="101">
        <f t="shared" si="24"/>
        <v>100</v>
      </c>
      <c r="K195" s="101">
        <f t="shared" si="25"/>
        <v>0</v>
      </c>
      <c r="L195" s="101"/>
      <c r="M195" s="101"/>
      <c r="N195" s="72"/>
      <c r="O195" s="101"/>
      <c r="P195" s="101"/>
      <c r="Q195" s="72"/>
    </row>
    <row r="196" spans="1:17" ht="15">
      <c r="A196" s="101"/>
      <c r="B196" s="101"/>
      <c r="C196" s="124">
        <v>78</v>
      </c>
      <c r="D196" s="101" t="s">
        <v>517</v>
      </c>
      <c r="E196" s="103"/>
      <c r="F196" s="101"/>
      <c r="G196" s="101">
        <v>10</v>
      </c>
      <c r="H196" s="101">
        <v>2007</v>
      </c>
      <c r="I196" s="101">
        <v>700</v>
      </c>
      <c r="J196" s="101">
        <f t="shared" si="24"/>
        <v>100</v>
      </c>
      <c r="K196" s="101">
        <f t="shared" si="25"/>
        <v>0</v>
      </c>
      <c r="L196" s="101"/>
      <c r="M196" s="101"/>
      <c r="N196" s="72"/>
      <c r="O196" s="101"/>
      <c r="P196" s="101"/>
      <c r="Q196" s="72"/>
    </row>
    <row r="197" spans="1:17" ht="15">
      <c r="A197" s="101"/>
      <c r="B197" s="101"/>
      <c r="C197" s="124">
        <v>79</v>
      </c>
      <c r="D197" s="101" t="s">
        <v>517</v>
      </c>
      <c r="E197" s="103"/>
      <c r="F197" s="101"/>
      <c r="G197" s="101">
        <v>4</v>
      </c>
      <c r="H197" s="101">
        <v>2007</v>
      </c>
      <c r="I197" s="101">
        <v>292</v>
      </c>
      <c r="J197" s="101">
        <f t="shared" si="24"/>
        <v>100</v>
      </c>
      <c r="K197" s="101">
        <f>IF(J197=100,0,I197-I197*J197%)</f>
        <v>0</v>
      </c>
      <c r="L197" s="101"/>
      <c r="M197" s="101"/>
      <c r="N197" s="72"/>
      <c r="O197" s="101"/>
      <c r="P197" s="101"/>
      <c r="Q197" s="72"/>
    </row>
    <row r="198" spans="1:17" ht="15">
      <c r="A198" s="101"/>
      <c r="B198" s="101"/>
      <c r="C198" s="124">
        <v>80</v>
      </c>
      <c r="D198" s="101" t="s">
        <v>518</v>
      </c>
      <c r="E198" s="103"/>
      <c r="F198" s="101"/>
      <c r="G198" s="101">
        <v>1</v>
      </c>
      <c r="H198" s="101">
        <v>1998</v>
      </c>
      <c r="I198" s="101">
        <v>1380</v>
      </c>
      <c r="J198" s="101">
        <f t="shared" si="24"/>
        <v>100</v>
      </c>
      <c r="K198" s="101">
        <f aca="true" t="shared" si="26" ref="K198:K211">IF(J198=100,0,I198-I198*J198%)</f>
        <v>0</v>
      </c>
      <c r="L198" s="101"/>
      <c r="M198" s="101"/>
      <c r="N198" s="72"/>
      <c r="O198" s="101"/>
      <c r="P198" s="101"/>
      <c r="Q198" s="72"/>
    </row>
    <row r="199" spans="1:17" ht="15">
      <c r="A199" s="101"/>
      <c r="B199" s="101"/>
      <c r="C199" s="124">
        <v>81</v>
      </c>
      <c r="D199" s="101" t="s">
        <v>519</v>
      </c>
      <c r="E199" s="103"/>
      <c r="F199" s="101"/>
      <c r="G199" s="101">
        <v>1</v>
      </c>
      <c r="H199" s="101">
        <v>2001</v>
      </c>
      <c r="I199" s="101">
        <v>46</v>
      </c>
      <c r="J199" s="101">
        <f t="shared" si="24"/>
        <v>100</v>
      </c>
      <c r="K199" s="101">
        <f t="shared" si="26"/>
        <v>0</v>
      </c>
      <c r="L199" s="101"/>
      <c r="M199" s="101"/>
      <c r="N199" s="72"/>
      <c r="O199" s="101"/>
      <c r="P199" s="101"/>
      <c r="Q199" s="72"/>
    </row>
    <row r="200" spans="1:17" ht="15">
      <c r="A200" s="101"/>
      <c r="B200" s="101"/>
      <c r="C200" s="124">
        <v>82</v>
      </c>
      <c r="D200" s="101" t="s">
        <v>520</v>
      </c>
      <c r="E200" s="103"/>
      <c r="F200" s="101"/>
      <c r="G200" s="101">
        <v>2</v>
      </c>
      <c r="H200" s="101">
        <v>1997</v>
      </c>
      <c r="I200" s="101">
        <v>357</v>
      </c>
      <c r="J200" s="101">
        <f t="shared" si="24"/>
        <v>100</v>
      </c>
      <c r="K200" s="101">
        <f t="shared" si="26"/>
        <v>0</v>
      </c>
      <c r="L200" s="101"/>
      <c r="M200" s="101"/>
      <c r="N200" s="72"/>
      <c r="O200" s="101"/>
      <c r="P200" s="101"/>
      <c r="Q200" s="72"/>
    </row>
    <row r="201" spans="1:17" ht="15">
      <c r="A201" s="101"/>
      <c r="B201" s="101"/>
      <c r="C201" s="124">
        <v>83</v>
      </c>
      <c r="D201" s="101" t="s">
        <v>520</v>
      </c>
      <c r="E201" s="103"/>
      <c r="F201" s="101"/>
      <c r="G201" s="101">
        <v>3</v>
      </c>
      <c r="H201" s="101">
        <v>1997</v>
      </c>
      <c r="I201" s="101">
        <v>768</v>
      </c>
      <c r="J201" s="101">
        <f t="shared" si="24"/>
        <v>100</v>
      </c>
      <c r="K201" s="101">
        <f t="shared" si="26"/>
        <v>0</v>
      </c>
      <c r="L201" s="101"/>
      <c r="M201" s="101"/>
      <c r="N201" s="72"/>
      <c r="O201" s="101"/>
      <c r="P201" s="101"/>
      <c r="Q201" s="72"/>
    </row>
    <row r="202" spans="1:17" ht="15">
      <c r="A202" s="101"/>
      <c r="B202" s="101"/>
      <c r="C202" s="124">
        <v>84</v>
      </c>
      <c r="D202" s="101" t="s">
        <v>521</v>
      </c>
      <c r="E202" s="103"/>
      <c r="F202" s="101"/>
      <c r="G202" s="101">
        <v>1</v>
      </c>
      <c r="H202" s="101">
        <v>2019</v>
      </c>
      <c r="I202" s="101">
        <v>143</v>
      </c>
      <c r="J202" s="101">
        <f t="shared" si="24"/>
        <v>50</v>
      </c>
      <c r="K202" s="101">
        <f t="shared" si="26"/>
        <v>71.5</v>
      </c>
      <c r="L202" s="101"/>
      <c r="M202" s="101"/>
      <c r="N202" s="72"/>
      <c r="O202" s="101"/>
      <c r="P202" s="101"/>
      <c r="Q202" s="72"/>
    </row>
    <row r="203" spans="1:17" ht="15">
      <c r="A203" s="101"/>
      <c r="B203" s="101"/>
      <c r="C203" s="124">
        <v>85</v>
      </c>
      <c r="D203" s="101" t="s">
        <v>522</v>
      </c>
      <c r="E203" s="103"/>
      <c r="F203" s="101"/>
      <c r="G203" s="101">
        <v>1</v>
      </c>
      <c r="H203" s="101">
        <v>1998</v>
      </c>
      <c r="I203" s="101">
        <v>3600</v>
      </c>
      <c r="J203" s="101">
        <f t="shared" si="24"/>
        <v>100</v>
      </c>
      <c r="K203" s="101">
        <f t="shared" si="26"/>
        <v>0</v>
      </c>
      <c r="L203" s="101"/>
      <c r="M203" s="101"/>
      <c r="N203" s="72"/>
      <c r="O203" s="101"/>
      <c r="P203" s="101"/>
      <c r="Q203" s="72"/>
    </row>
    <row r="204" spans="1:17" ht="15">
      <c r="A204" s="101"/>
      <c r="B204" s="101"/>
      <c r="C204" s="124">
        <v>86</v>
      </c>
      <c r="D204" s="101" t="s">
        <v>523</v>
      </c>
      <c r="E204" s="103"/>
      <c r="F204" s="101"/>
      <c r="G204" s="101">
        <v>1</v>
      </c>
      <c r="H204" s="101">
        <v>2001</v>
      </c>
      <c r="I204" s="101">
        <v>46</v>
      </c>
      <c r="J204" s="101">
        <f t="shared" si="24"/>
        <v>100</v>
      </c>
      <c r="K204" s="101">
        <f t="shared" si="26"/>
        <v>0</v>
      </c>
      <c r="L204" s="101"/>
      <c r="M204" s="101"/>
      <c r="N204" s="72"/>
      <c r="O204" s="101"/>
      <c r="P204" s="101"/>
      <c r="Q204" s="72"/>
    </row>
    <row r="205" spans="1:17" ht="15">
      <c r="A205" s="101"/>
      <c r="B205" s="101"/>
      <c r="C205" s="124">
        <v>87</v>
      </c>
      <c r="D205" s="101" t="s">
        <v>524</v>
      </c>
      <c r="E205" s="103"/>
      <c r="F205" s="101"/>
      <c r="G205" s="101">
        <v>1</v>
      </c>
      <c r="H205" s="101">
        <v>2018</v>
      </c>
      <c r="I205" s="101">
        <v>131</v>
      </c>
      <c r="J205" s="101">
        <f t="shared" si="24"/>
        <v>62.5</v>
      </c>
      <c r="K205" s="101">
        <f t="shared" si="26"/>
        <v>49.125</v>
      </c>
      <c r="L205" s="101"/>
      <c r="M205" s="101"/>
      <c r="N205" s="72"/>
      <c r="O205" s="101"/>
      <c r="P205" s="101"/>
      <c r="Q205" s="72"/>
    </row>
    <row r="206" spans="1:17" ht="15">
      <c r="A206" s="101"/>
      <c r="B206" s="101"/>
      <c r="C206" s="124">
        <v>88</v>
      </c>
      <c r="D206" s="101" t="s">
        <v>525</v>
      </c>
      <c r="E206" s="103"/>
      <c r="F206" s="101"/>
      <c r="G206" s="101">
        <v>2</v>
      </c>
      <c r="H206" s="101">
        <v>1996</v>
      </c>
      <c r="I206" s="101">
        <v>200</v>
      </c>
      <c r="J206" s="101">
        <f t="shared" si="24"/>
        <v>100</v>
      </c>
      <c r="K206" s="101">
        <f t="shared" si="26"/>
        <v>0</v>
      </c>
      <c r="L206" s="101"/>
      <c r="M206" s="101"/>
      <c r="N206" s="72"/>
      <c r="O206" s="101"/>
      <c r="P206" s="101"/>
      <c r="Q206" s="72"/>
    </row>
    <row r="207" spans="1:17" ht="15">
      <c r="A207" s="101"/>
      <c r="B207" s="101"/>
      <c r="C207" s="124">
        <v>89</v>
      </c>
      <c r="D207" s="101" t="s">
        <v>525</v>
      </c>
      <c r="E207" s="103"/>
      <c r="F207" s="101"/>
      <c r="G207" s="101">
        <v>1</v>
      </c>
      <c r="H207" s="101">
        <v>1996</v>
      </c>
      <c r="I207" s="101">
        <v>35</v>
      </c>
      <c r="J207" s="101">
        <f t="shared" si="24"/>
        <v>100</v>
      </c>
      <c r="K207" s="101">
        <f t="shared" si="26"/>
        <v>0</v>
      </c>
      <c r="L207" s="101"/>
      <c r="M207" s="101"/>
      <c r="N207" s="72"/>
      <c r="O207" s="101"/>
      <c r="P207" s="101"/>
      <c r="Q207" s="72"/>
    </row>
    <row r="208" spans="1:17" ht="15">
      <c r="A208" s="101"/>
      <c r="B208" s="101"/>
      <c r="C208" s="124">
        <v>90</v>
      </c>
      <c r="D208" s="101" t="s">
        <v>526</v>
      </c>
      <c r="E208" s="103"/>
      <c r="F208" s="101"/>
      <c r="G208" s="101">
        <v>8</v>
      </c>
      <c r="H208" s="101">
        <v>2019</v>
      </c>
      <c r="I208" s="101">
        <v>376</v>
      </c>
      <c r="J208" s="101">
        <f t="shared" si="24"/>
        <v>50</v>
      </c>
      <c r="K208" s="101">
        <f t="shared" si="26"/>
        <v>188</v>
      </c>
      <c r="L208" s="101"/>
      <c r="M208" s="101"/>
      <c r="N208" s="72"/>
      <c r="O208" s="101"/>
      <c r="P208" s="101"/>
      <c r="Q208" s="72"/>
    </row>
    <row r="209" spans="1:17" ht="15">
      <c r="A209" s="101"/>
      <c r="B209" s="101"/>
      <c r="C209" s="124">
        <v>91</v>
      </c>
      <c r="D209" s="101" t="s">
        <v>526</v>
      </c>
      <c r="E209" s="103"/>
      <c r="F209" s="101"/>
      <c r="G209" s="101">
        <v>1</v>
      </c>
      <c r="H209" s="101">
        <v>2019</v>
      </c>
      <c r="I209" s="101">
        <v>110</v>
      </c>
      <c r="J209" s="101">
        <f t="shared" si="24"/>
        <v>50</v>
      </c>
      <c r="K209" s="101">
        <f t="shared" si="26"/>
        <v>55</v>
      </c>
      <c r="L209" s="101"/>
      <c r="M209" s="101"/>
      <c r="N209" s="72"/>
      <c r="O209" s="101"/>
      <c r="P209" s="101"/>
      <c r="Q209" s="72"/>
    </row>
    <row r="210" spans="1:17" ht="15">
      <c r="A210" s="101"/>
      <c r="B210" s="101"/>
      <c r="C210" s="124">
        <v>92</v>
      </c>
      <c r="D210" s="101" t="s">
        <v>527</v>
      </c>
      <c r="E210" s="103"/>
      <c r="F210" s="101"/>
      <c r="G210" s="101">
        <v>1</v>
      </c>
      <c r="H210" s="101">
        <v>1996</v>
      </c>
      <c r="I210" s="101">
        <v>75</v>
      </c>
      <c r="J210" s="101">
        <f t="shared" si="24"/>
        <v>100</v>
      </c>
      <c r="K210" s="101">
        <f t="shared" si="26"/>
        <v>0</v>
      </c>
      <c r="L210" s="101"/>
      <c r="M210" s="101"/>
      <c r="N210" s="72"/>
      <c r="O210" s="101"/>
      <c r="P210" s="101"/>
      <c r="Q210" s="72"/>
    </row>
    <row r="211" spans="1:17" ht="15">
      <c r="A211" s="101"/>
      <c r="B211" s="101"/>
      <c r="C211" s="124">
        <v>93</v>
      </c>
      <c r="D211" s="101" t="s">
        <v>527</v>
      </c>
      <c r="E211" s="103"/>
      <c r="F211" s="101"/>
      <c r="G211" s="101">
        <v>2</v>
      </c>
      <c r="H211" s="101">
        <v>1996</v>
      </c>
      <c r="I211" s="101">
        <v>97</v>
      </c>
      <c r="J211" s="101">
        <f t="shared" si="24"/>
        <v>100</v>
      </c>
      <c r="K211" s="101">
        <f t="shared" si="26"/>
        <v>0</v>
      </c>
      <c r="L211" s="101"/>
      <c r="M211" s="101"/>
      <c r="N211" s="72"/>
      <c r="O211" s="101"/>
      <c r="P211" s="101"/>
      <c r="Q211" s="72"/>
    </row>
    <row r="212" spans="1:17" ht="15">
      <c r="A212" s="101"/>
      <c r="B212" s="101"/>
      <c r="C212" s="124">
        <v>94</v>
      </c>
      <c r="D212" s="101" t="s">
        <v>528</v>
      </c>
      <c r="E212" s="103"/>
      <c r="F212" s="101"/>
      <c r="G212" s="101">
        <v>1</v>
      </c>
      <c r="H212" s="101">
        <v>2001</v>
      </c>
      <c r="I212" s="101">
        <v>130</v>
      </c>
      <c r="J212" s="101">
        <f t="shared" si="24"/>
        <v>100</v>
      </c>
      <c r="K212" s="101">
        <f aca="true" t="shared" si="27" ref="K212:K222">IF(J212=100,0,I212-I212*J212%)</f>
        <v>0</v>
      </c>
      <c r="L212" s="101"/>
      <c r="M212" s="101"/>
      <c r="N212" s="72"/>
      <c r="O212" s="101"/>
      <c r="P212" s="101"/>
      <c r="Q212" s="72"/>
    </row>
    <row r="213" spans="1:17" ht="15">
      <c r="A213" s="101"/>
      <c r="B213" s="101"/>
      <c r="C213" s="124">
        <v>95</v>
      </c>
      <c r="D213" s="101" t="s">
        <v>529</v>
      </c>
      <c r="E213" s="103"/>
      <c r="F213" s="101"/>
      <c r="G213" s="101">
        <v>1</v>
      </c>
      <c r="H213" s="101">
        <v>2021</v>
      </c>
      <c r="I213" s="101">
        <v>185</v>
      </c>
      <c r="J213" s="101">
        <f t="shared" si="24"/>
        <v>25</v>
      </c>
      <c r="K213" s="101">
        <f t="shared" si="27"/>
        <v>138.75</v>
      </c>
      <c r="L213" s="101"/>
      <c r="M213" s="101"/>
      <c r="N213" s="72"/>
      <c r="O213" s="101"/>
      <c r="P213" s="101"/>
      <c r="Q213" s="72"/>
    </row>
    <row r="214" spans="1:17" ht="15">
      <c r="A214" s="101"/>
      <c r="B214" s="101"/>
      <c r="C214" s="124">
        <v>96</v>
      </c>
      <c r="D214" s="101" t="s">
        <v>530</v>
      </c>
      <c r="E214" s="103"/>
      <c r="F214" s="101"/>
      <c r="G214" s="101">
        <v>1</v>
      </c>
      <c r="H214" s="101">
        <v>1998</v>
      </c>
      <c r="I214" s="101">
        <v>120</v>
      </c>
      <c r="J214" s="101">
        <f t="shared" si="24"/>
        <v>100</v>
      </c>
      <c r="K214" s="101">
        <f t="shared" si="27"/>
        <v>0</v>
      </c>
      <c r="L214" s="101"/>
      <c r="M214" s="101"/>
      <c r="N214" s="72"/>
      <c r="O214" s="101"/>
      <c r="P214" s="101"/>
      <c r="Q214" s="72"/>
    </row>
    <row r="215" spans="1:17" ht="15">
      <c r="A215" s="101"/>
      <c r="B215" s="101"/>
      <c r="C215" s="124">
        <v>97</v>
      </c>
      <c r="D215" s="101" t="s">
        <v>531</v>
      </c>
      <c r="E215" s="103"/>
      <c r="F215" s="101"/>
      <c r="G215" s="101">
        <v>5</v>
      </c>
      <c r="H215" s="101">
        <v>2008</v>
      </c>
      <c r="I215" s="101">
        <v>275</v>
      </c>
      <c r="J215" s="101">
        <f aca="true" t="shared" si="28" ref="J215:J248">IF(($J$14-H215)*J$113&gt;100,100,($J$14-H215)*J$113)</f>
        <v>100</v>
      </c>
      <c r="K215" s="101">
        <f t="shared" si="27"/>
        <v>0</v>
      </c>
      <c r="L215" s="101"/>
      <c r="M215" s="101"/>
      <c r="N215" s="72"/>
      <c r="O215" s="101"/>
      <c r="P215" s="101"/>
      <c r="Q215" s="72"/>
    </row>
    <row r="216" spans="1:17" ht="15">
      <c r="A216" s="101"/>
      <c r="B216" s="101"/>
      <c r="C216" s="124">
        <v>98</v>
      </c>
      <c r="D216" s="101" t="s">
        <v>532</v>
      </c>
      <c r="E216" s="103"/>
      <c r="F216" s="101"/>
      <c r="G216" s="101">
        <v>10</v>
      </c>
      <c r="H216" s="101">
        <v>1996</v>
      </c>
      <c r="I216" s="101">
        <v>600</v>
      </c>
      <c r="J216" s="101">
        <f t="shared" si="28"/>
        <v>100</v>
      </c>
      <c r="K216" s="101">
        <f t="shared" si="27"/>
        <v>0</v>
      </c>
      <c r="L216" s="101"/>
      <c r="M216" s="101"/>
      <c r="N216" s="72"/>
      <c r="O216" s="101"/>
      <c r="P216" s="101"/>
      <c r="Q216" s="72"/>
    </row>
    <row r="217" spans="1:17" ht="15">
      <c r="A217" s="101"/>
      <c r="B217" s="101"/>
      <c r="C217" s="124">
        <v>99</v>
      </c>
      <c r="D217" s="101" t="s">
        <v>533</v>
      </c>
      <c r="E217" s="103"/>
      <c r="F217" s="101"/>
      <c r="G217" s="101">
        <v>1</v>
      </c>
      <c r="H217" s="101">
        <v>2019</v>
      </c>
      <c r="I217" s="101">
        <v>29</v>
      </c>
      <c r="J217" s="101">
        <f t="shared" si="28"/>
        <v>50</v>
      </c>
      <c r="K217" s="101">
        <f t="shared" si="27"/>
        <v>14.5</v>
      </c>
      <c r="L217" s="101"/>
      <c r="M217" s="101"/>
      <c r="N217" s="72"/>
      <c r="O217" s="101"/>
      <c r="P217" s="101"/>
      <c r="Q217" s="72"/>
    </row>
    <row r="218" spans="1:17" ht="15">
      <c r="A218" s="101"/>
      <c r="B218" s="101"/>
      <c r="C218" s="124">
        <v>100</v>
      </c>
      <c r="D218" s="101" t="s">
        <v>534</v>
      </c>
      <c r="E218" s="103"/>
      <c r="F218" s="101"/>
      <c r="G218" s="101">
        <v>2</v>
      </c>
      <c r="H218" s="101">
        <v>2020</v>
      </c>
      <c r="I218" s="101">
        <v>100</v>
      </c>
      <c r="J218" s="101">
        <f t="shared" si="28"/>
        <v>37.5</v>
      </c>
      <c r="K218" s="101">
        <f t="shared" si="27"/>
        <v>62.5</v>
      </c>
      <c r="L218" s="101"/>
      <c r="M218" s="101"/>
      <c r="N218" s="72"/>
      <c r="O218" s="101"/>
      <c r="P218" s="101"/>
      <c r="Q218" s="72"/>
    </row>
    <row r="219" spans="1:17" ht="15">
      <c r="A219" s="101"/>
      <c r="B219" s="101"/>
      <c r="C219" s="124">
        <v>101</v>
      </c>
      <c r="D219" s="101" t="s">
        <v>534</v>
      </c>
      <c r="E219" s="103"/>
      <c r="F219" s="101"/>
      <c r="G219" s="101">
        <v>1</v>
      </c>
      <c r="H219" s="101">
        <v>1997</v>
      </c>
      <c r="I219" s="101">
        <v>41.4</v>
      </c>
      <c r="J219" s="101">
        <f t="shared" si="28"/>
        <v>100</v>
      </c>
      <c r="K219" s="101">
        <f t="shared" si="27"/>
        <v>0</v>
      </c>
      <c r="L219" s="101"/>
      <c r="M219" s="101"/>
      <c r="N219" s="72"/>
      <c r="O219" s="101"/>
      <c r="P219" s="101"/>
      <c r="Q219" s="72"/>
    </row>
    <row r="220" spans="1:17" ht="15">
      <c r="A220" s="101"/>
      <c r="B220" s="101"/>
      <c r="C220" s="124">
        <v>102</v>
      </c>
      <c r="D220" s="101" t="s">
        <v>535</v>
      </c>
      <c r="E220" s="103"/>
      <c r="F220" s="101"/>
      <c r="G220" s="101">
        <v>1</v>
      </c>
      <c r="H220" s="101">
        <v>1998</v>
      </c>
      <c r="I220" s="101">
        <v>40</v>
      </c>
      <c r="J220" s="101">
        <f t="shared" si="28"/>
        <v>100</v>
      </c>
      <c r="K220" s="101">
        <f t="shared" si="27"/>
        <v>0</v>
      </c>
      <c r="L220" s="101"/>
      <c r="M220" s="101"/>
      <c r="N220" s="72"/>
      <c r="O220" s="101"/>
      <c r="P220" s="101"/>
      <c r="Q220" s="72"/>
    </row>
    <row r="221" spans="1:17" ht="15">
      <c r="A221" s="101"/>
      <c r="B221" s="101"/>
      <c r="C221" s="124">
        <v>103</v>
      </c>
      <c r="D221" s="101" t="s">
        <v>536</v>
      </c>
      <c r="E221" s="103"/>
      <c r="F221" s="101"/>
      <c r="G221" s="101">
        <v>1</v>
      </c>
      <c r="H221" s="101">
        <v>1998</v>
      </c>
      <c r="I221" s="101">
        <v>42</v>
      </c>
      <c r="J221" s="101">
        <f t="shared" si="28"/>
        <v>100</v>
      </c>
      <c r="K221" s="101">
        <f t="shared" si="27"/>
        <v>0</v>
      </c>
      <c r="L221" s="101"/>
      <c r="M221" s="101"/>
      <c r="N221" s="72"/>
      <c r="O221" s="101"/>
      <c r="P221" s="101"/>
      <c r="Q221" s="72"/>
    </row>
    <row r="222" spans="1:17" ht="15">
      <c r="A222" s="101"/>
      <c r="B222" s="101"/>
      <c r="C222" s="124">
        <v>104</v>
      </c>
      <c r="D222" s="101" t="s">
        <v>537</v>
      </c>
      <c r="E222" s="103"/>
      <c r="F222" s="101"/>
      <c r="G222" s="101">
        <v>5</v>
      </c>
      <c r="H222" s="101">
        <v>1997</v>
      </c>
      <c r="I222" s="101">
        <v>703</v>
      </c>
      <c r="J222" s="101">
        <f t="shared" si="28"/>
        <v>100</v>
      </c>
      <c r="K222" s="101">
        <f t="shared" si="27"/>
        <v>0</v>
      </c>
      <c r="L222" s="101"/>
      <c r="M222" s="101"/>
      <c r="N222" s="72"/>
      <c r="O222" s="101"/>
      <c r="P222" s="101"/>
      <c r="Q222" s="72"/>
    </row>
    <row r="223" spans="1:17" ht="15">
      <c r="A223" s="101"/>
      <c r="B223" s="101"/>
      <c r="C223" s="124">
        <v>105</v>
      </c>
      <c r="D223" s="101" t="s">
        <v>538</v>
      </c>
      <c r="E223" s="103"/>
      <c r="F223" s="101"/>
      <c r="G223" s="101">
        <v>9</v>
      </c>
      <c r="H223" s="101">
        <v>2018</v>
      </c>
      <c r="I223" s="101">
        <v>128</v>
      </c>
      <c r="J223" s="101">
        <f t="shared" si="28"/>
        <v>62.5</v>
      </c>
      <c r="K223" s="101">
        <f aca="true" t="shared" si="29" ref="K223:K239">IF(J223=100,0,I223-I223*J223%)</f>
        <v>48</v>
      </c>
      <c r="L223" s="101"/>
      <c r="M223" s="101"/>
      <c r="N223" s="72"/>
      <c r="O223" s="101"/>
      <c r="P223" s="101"/>
      <c r="Q223" s="72"/>
    </row>
    <row r="224" spans="1:17" ht="15">
      <c r="A224" s="101"/>
      <c r="B224" s="101"/>
      <c r="C224" s="124">
        <v>106</v>
      </c>
      <c r="D224" s="101" t="s">
        <v>539</v>
      </c>
      <c r="E224" s="103"/>
      <c r="F224" s="101"/>
      <c r="G224" s="101">
        <v>9</v>
      </c>
      <c r="H224" s="101">
        <v>1998</v>
      </c>
      <c r="I224" s="101">
        <v>546</v>
      </c>
      <c r="J224" s="101">
        <f t="shared" si="28"/>
        <v>100</v>
      </c>
      <c r="K224" s="101">
        <f t="shared" si="29"/>
        <v>0</v>
      </c>
      <c r="L224" s="101"/>
      <c r="M224" s="101"/>
      <c r="N224" s="72"/>
      <c r="O224" s="101"/>
      <c r="P224" s="101"/>
      <c r="Q224" s="72"/>
    </row>
    <row r="225" spans="1:17" ht="15">
      <c r="A225" s="101"/>
      <c r="B225" s="101"/>
      <c r="C225" s="124">
        <v>107</v>
      </c>
      <c r="D225" s="101" t="s">
        <v>540</v>
      </c>
      <c r="E225" s="103"/>
      <c r="F225" s="101"/>
      <c r="G225" s="101">
        <v>2</v>
      </c>
      <c r="H225" s="101">
        <v>1996</v>
      </c>
      <c r="I225" s="101">
        <v>876</v>
      </c>
      <c r="J225" s="101">
        <f t="shared" si="28"/>
        <v>100</v>
      </c>
      <c r="K225" s="101">
        <f t="shared" si="29"/>
        <v>0</v>
      </c>
      <c r="L225" s="101"/>
      <c r="M225" s="101"/>
      <c r="N225" s="72"/>
      <c r="O225" s="101"/>
      <c r="P225" s="101"/>
      <c r="Q225" s="72"/>
    </row>
    <row r="226" spans="1:17" ht="15">
      <c r="A226" s="101"/>
      <c r="B226" s="101"/>
      <c r="C226" s="124">
        <v>108</v>
      </c>
      <c r="D226" s="101" t="s">
        <v>541</v>
      </c>
      <c r="E226" s="103"/>
      <c r="F226" s="101"/>
      <c r="G226" s="101">
        <v>15</v>
      </c>
      <c r="H226" s="101">
        <v>2019</v>
      </c>
      <c r="I226" s="101">
        <v>559</v>
      </c>
      <c r="J226" s="101">
        <f t="shared" si="28"/>
        <v>50</v>
      </c>
      <c r="K226" s="101">
        <f t="shared" si="29"/>
        <v>279.5</v>
      </c>
      <c r="L226" s="101"/>
      <c r="M226" s="101"/>
      <c r="N226" s="72"/>
      <c r="O226" s="101"/>
      <c r="P226" s="101"/>
      <c r="Q226" s="72"/>
    </row>
    <row r="227" spans="1:17" ht="15">
      <c r="A227" s="101"/>
      <c r="B227" s="101"/>
      <c r="C227" s="124">
        <v>109</v>
      </c>
      <c r="D227" s="101" t="s">
        <v>542</v>
      </c>
      <c r="E227" s="103"/>
      <c r="F227" s="101"/>
      <c r="G227" s="101">
        <v>2</v>
      </c>
      <c r="H227" s="101">
        <v>2007</v>
      </c>
      <c r="I227" s="101">
        <v>130</v>
      </c>
      <c r="J227" s="101">
        <f t="shared" si="28"/>
        <v>100</v>
      </c>
      <c r="K227" s="101">
        <f t="shared" si="29"/>
        <v>0</v>
      </c>
      <c r="L227" s="101"/>
      <c r="M227" s="101"/>
      <c r="N227" s="72"/>
      <c r="O227" s="101"/>
      <c r="P227" s="101"/>
      <c r="Q227" s="72"/>
    </row>
    <row r="228" spans="1:17" ht="15">
      <c r="A228" s="101"/>
      <c r="B228" s="101"/>
      <c r="C228" s="124">
        <v>110</v>
      </c>
      <c r="D228" s="101" t="s">
        <v>543</v>
      </c>
      <c r="E228" s="103"/>
      <c r="F228" s="101"/>
      <c r="G228" s="101">
        <v>1</v>
      </c>
      <c r="H228" s="101">
        <v>2001</v>
      </c>
      <c r="I228" s="101">
        <v>60</v>
      </c>
      <c r="J228" s="101">
        <f t="shared" si="28"/>
        <v>100</v>
      </c>
      <c r="K228" s="101">
        <f t="shared" si="29"/>
        <v>0</v>
      </c>
      <c r="L228" s="101"/>
      <c r="M228" s="101"/>
      <c r="N228" s="72"/>
      <c r="O228" s="101"/>
      <c r="P228" s="101"/>
      <c r="Q228" s="72"/>
    </row>
    <row r="229" spans="1:17" ht="15">
      <c r="A229" s="101"/>
      <c r="B229" s="101"/>
      <c r="C229" s="124">
        <v>111</v>
      </c>
      <c r="D229" s="101" t="s">
        <v>543</v>
      </c>
      <c r="E229" s="103"/>
      <c r="F229" s="101"/>
      <c r="G229" s="101">
        <v>1</v>
      </c>
      <c r="H229" s="101">
        <v>2019</v>
      </c>
      <c r="I229" s="101">
        <v>41</v>
      </c>
      <c r="J229" s="101">
        <f t="shared" si="28"/>
        <v>50</v>
      </c>
      <c r="K229" s="101">
        <f t="shared" si="29"/>
        <v>20.5</v>
      </c>
      <c r="L229" s="101"/>
      <c r="M229" s="101"/>
      <c r="N229" s="72"/>
      <c r="O229" s="101"/>
      <c r="P229" s="101"/>
      <c r="Q229" s="72"/>
    </row>
    <row r="230" spans="1:17" ht="15">
      <c r="A230" s="101"/>
      <c r="B230" s="101"/>
      <c r="C230" s="124">
        <v>112</v>
      </c>
      <c r="D230" s="101" t="s">
        <v>543</v>
      </c>
      <c r="E230" s="103"/>
      <c r="F230" s="101"/>
      <c r="G230" s="101">
        <v>7</v>
      </c>
      <c r="H230" s="101">
        <v>2006</v>
      </c>
      <c r="I230" s="101">
        <v>210</v>
      </c>
      <c r="J230" s="101">
        <f t="shared" si="28"/>
        <v>100</v>
      </c>
      <c r="K230" s="101">
        <f t="shared" si="29"/>
        <v>0</v>
      </c>
      <c r="L230" s="101"/>
      <c r="M230" s="101"/>
      <c r="N230" s="72"/>
      <c r="O230" s="101"/>
      <c r="P230" s="101"/>
      <c r="Q230" s="72"/>
    </row>
    <row r="231" spans="1:17" ht="15">
      <c r="A231" s="101"/>
      <c r="B231" s="101"/>
      <c r="C231" s="124">
        <v>113</v>
      </c>
      <c r="D231" s="101" t="s">
        <v>544</v>
      </c>
      <c r="E231" s="103"/>
      <c r="F231" s="101"/>
      <c r="G231" s="101">
        <v>6</v>
      </c>
      <c r="H231" s="101">
        <v>2007</v>
      </c>
      <c r="I231" s="101">
        <v>178</v>
      </c>
      <c r="J231" s="101">
        <f t="shared" si="28"/>
        <v>100</v>
      </c>
      <c r="K231" s="101">
        <f t="shared" si="29"/>
        <v>0</v>
      </c>
      <c r="L231" s="101"/>
      <c r="M231" s="101"/>
      <c r="N231" s="72"/>
      <c r="O231" s="101"/>
      <c r="P231" s="101"/>
      <c r="Q231" s="72"/>
    </row>
    <row r="232" spans="1:17" ht="15">
      <c r="A232" s="101"/>
      <c r="B232" s="101"/>
      <c r="C232" s="124">
        <v>114</v>
      </c>
      <c r="D232" s="101" t="s">
        <v>545</v>
      </c>
      <c r="E232" s="103"/>
      <c r="F232" s="101"/>
      <c r="G232" s="101">
        <v>9</v>
      </c>
      <c r="H232" s="101">
        <v>2018</v>
      </c>
      <c r="I232" s="101">
        <v>499</v>
      </c>
      <c r="J232" s="101">
        <f t="shared" si="28"/>
        <v>62.5</v>
      </c>
      <c r="K232" s="101">
        <f t="shared" si="29"/>
        <v>187.125</v>
      </c>
      <c r="L232" s="101"/>
      <c r="M232" s="101"/>
      <c r="N232" s="72"/>
      <c r="O232" s="101"/>
      <c r="P232" s="101"/>
      <c r="Q232" s="72"/>
    </row>
    <row r="233" spans="1:17" ht="15">
      <c r="A233" s="101"/>
      <c r="B233" s="101"/>
      <c r="C233" s="124">
        <v>115</v>
      </c>
      <c r="D233" s="101" t="s">
        <v>546</v>
      </c>
      <c r="E233" s="103"/>
      <c r="F233" s="101"/>
      <c r="G233" s="101">
        <v>2</v>
      </c>
      <c r="H233" s="101">
        <v>2007</v>
      </c>
      <c r="I233" s="101">
        <v>136</v>
      </c>
      <c r="J233" s="101">
        <f t="shared" si="28"/>
        <v>100</v>
      </c>
      <c r="K233" s="101">
        <f t="shared" si="29"/>
        <v>0</v>
      </c>
      <c r="L233" s="101"/>
      <c r="M233" s="101"/>
      <c r="N233" s="72"/>
      <c r="O233" s="101"/>
      <c r="P233" s="101"/>
      <c r="Q233" s="72"/>
    </row>
    <row r="234" spans="1:17" ht="15">
      <c r="A234" s="101"/>
      <c r="B234" s="101"/>
      <c r="C234" s="124">
        <v>116</v>
      </c>
      <c r="D234" s="101" t="s">
        <v>547</v>
      </c>
      <c r="E234" s="103"/>
      <c r="F234" s="101"/>
      <c r="G234" s="101">
        <v>2</v>
      </c>
      <c r="H234" s="101">
        <v>2007</v>
      </c>
      <c r="I234" s="101">
        <v>107</v>
      </c>
      <c r="J234" s="101">
        <f t="shared" si="28"/>
        <v>100</v>
      </c>
      <c r="K234" s="101">
        <f t="shared" si="29"/>
        <v>0</v>
      </c>
      <c r="L234" s="101"/>
      <c r="M234" s="101"/>
      <c r="N234" s="72"/>
      <c r="O234" s="101"/>
      <c r="P234" s="101"/>
      <c r="Q234" s="72"/>
    </row>
    <row r="235" spans="1:17" ht="15">
      <c r="A235" s="101"/>
      <c r="B235" s="101"/>
      <c r="C235" s="124">
        <v>117</v>
      </c>
      <c r="D235" s="101" t="s">
        <v>548</v>
      </c>
      <c r="E235" s="103"/>
      <c r="F235" s="101"/>
      <c r="G235" s="101">
        <v>1</v>
      </c>
      <c r="H235" s="101">
        <v>2018</v>
      </c>
      <c r="I235" s="101">
        <v>148</v>
      </c>
      <c r="J235" s="101">
        <f t="shared" si="28"/>
        <v>62.5</v>
      </c>
      <c r="K235" s="101">
        <f t="shared" si="29"/>
        <v>55.5</v>
      </c>
      <c r="L235" s="101"/>
      <c r="M235" s="101"/>
      <c r="N235" s="72"/>
      <c r="O235" s="101"/>
      <c r="P235" s="101"/>
      <c r="Q235" s="72"/>
    </row>
    <row r="236" spans="1:17" ht="15">
      <c r="A236" s="101"/>
      <c r="B236" s="101"/>
      <c r="C236" s="124">
        <v>118</v>
      </c>
      <c r="D236" s="101" t="s">
        <v>549</v>
      </c>
      <c r="E236" s="103"/>
      <c r="F236" s="101"/>
      <c r="G236" s="101">
        <v>1</v>
      </c>
      <c r="H236" s="101">
        <v>2018</v>
      </c>
      <c r="I236" s="101">
        <v>78</v>
      </c>
      <c r="J236" s="101">
        <f t="shared" si="28"/>
        <v>62.5</v>
      </c>
      <c r="K236" s="101">
        <f t="shared" si="29"/>
        <v>29.25</v>
      </c>
      <c r="L236" s="101"/>
      <c r="M236" s="101"/>
      <c r="N236" s="72"/>
      <c r="O236" s="101"/>
      <c r="P236" s="101"/>
      <c r="Q236" s="72"/>
    </row>
    <row r="237" spans="1:17" ht="15">
      <c r="A237" s="101"/>
      <c r="B237" s="101"/>
      <c r="C237" s="124">
        <v>119</v>
      </c>
      <c r="D237" s="101" t="s">
        <v>550</v>
      </c>
      <c r="E237" s="103"/>
      <c r="F237" s="101"/>
      <c r="G237" s="101">
        <v>2</v>
      </c>
      <c r="H237" s="101">
        <v>1996</v>
      </c>
      <c r="I237" s="101">
        <v>49</v>
      </c>
      <c r="J237" s="101">
        <f t="shared" si="28"/>
        <v>100</v>
      </c>
      <c r="K237" s="101">
        <f t="shared" si="29"/>
        <v>0</v>
      </c>
      <c r="L237" s="101"/>
      <c r="M237" s="101"/>
      <c r="N237" s="72"/>
      <c r="O237" s="101"/>
      <c r="P237" s="101"/>
      <c r="Q237" s="72"/>
    </row>
    <row r="238" spans="1:17" ht="15">
      <c r="A238" s="101"/>
      <c r="B238" s="101"/>
      <c r="C238" s="124">
        <v>120</v>
      </c>
      <c r="D238" s="101" t="s">
        <v>551</v>
      </c>
      <c r="E238" s="103"/>
      <c r="F238" s="101"/>
      <c r="G238" s="101">
        <v>1</v>
      </c>
      <c r="H238" s="101">
        <v>1998</v>
      </c>
      <c r="I238" s="101">
        <v>200</v>
      </c>
      <c r="J238" s="101">
        <f t="shared" si="28"/>
        <v>100</v>
      </c>
      <c r="K238" s="101">
        <f t="shared" si="29"/>
        <v>0</v>
      </c>
      <c r="L238" s="101"/>
      <c r="M238" s="101"/>
      <c r="N238" s="72"/>
      <c r="O238" s="101"/>
      <c r="P238" s="101"/>
      <c r="Q238" s="72"/>
    </row>
    <row r="239" spans="1:17" ht="15">
      <c r="A239" s="101"/>
      <c r="B239" s="101"/>
      <c r="C239" s="124">
        <v>121</v>
      </c>
      <c r="D239" s="101" t="s">
        <v>552</v>
      </c>
      <c r="E239" s="103"/>
      <c r="F239" s="101"/>
      <c r="G239" s="101">
        <v>8</v>
      </c>
      <c r="H239" s="101">
        <v>1996</v>
      </c>
      <c r="I239" s="101">
        <v>2880</v>
      </c>
      <c r="J239" s="101">
        <f t="shared" si="28"/>
        <v>100</v>
      </c>
      <c r="K239" s="101">
        <f t="shared" si="29"/>
        <v>0</v>
      </c>
      <c r="L239" s="101"/>
      <c r="M239" s="101"/>
      <c r="N239" s="72"/>
      <c r="O239" s="101"/>
      <c r="P239" s="101"/>
      <c r="Q239" s="72"/>
    </row>
    <row r="240" spans="1:17" ht="15">
      <c r="A240" s="101"/>
      <c r="B240" s="101"/>
      <c r="C240" s="124">
        <v>105</v>
      </c>
      <c r="D240" s="101" t="s">
        <v>553</v>
      </c>
      <c r="E240" s="103"/>
      <c r="F240" s="101"/>
      <c r="G240" s="101">
        <v>1</v>
      </c>
      <c r="H240" s="101">
        <v>1996</v>
      </c>
      <c r="I240" s="101">
        <v>396</v>
      </c>
      <c r="J240" s="101">
        <f t="shared" si="28"/>
        <v>100</v>
      </c>
      <c r="K240" s="101">
        <f aca="true" t="shared" si="30" ref="K240:K248">IF(J240=100,0,I240-I240*J240%)</f>
        <v>0</v>
      </c>
      <c r="L240" s="101"/>
      <c r="M240" s="101"/>
      <c r="N240" s="72"/>
      <c r="O240" s="101"/>
      <c r="P240" s="101"/>
      <c r="Q240" s="72"/>
    </row>
    <row r="241" spans="1:17" ht="15">
      <c r="A241" s="101"/>
      <c r="B241" s="101"/>
      <c r="C241" s="124">
        <v>106</v>
      </c>
      <c r="D241" s="101" t="s">
        <v>554</v>
      </c>
      <c r="E241" s="103"/>
      <c r="F241" s="101"/>
      <c r="G241" s="101">
        <v>1</v>
      </c>
      <c r="H241" s="101">
        <v>1998</v>
      </c>
      <c r="I241" s="101">
        <v>81</v>
      </c>
      <c r="J241" s="101">
        <f t="shared" si="28"/>
        <v>100</v>
      </c>
      <c r="K241" s="101">
        <f t="shared" si="30"/>
        <v>0</v>
      </c>
      <c r="L241" s="101"/>
      <c r="M241" s="101"/>
      <c r="N241" s="72"/>
      <c r="O241" s="101"/>
      <c r="P241" s="101"/>
      <c r="Q241" s="72"/>
    </row>
    <row r="242" spans="1:17" ht="15">
      <c r="A242" s="101"/>
      <c r="B242" s="101"/>
      <c r="C242" s="124">
        <v>107</v>
      </c>
      <c r="D242" s="101" t="s">
        <v>555</v>
      </c>
      <c r="E242" s="103"/>
      <c r="F242" s="101"/>
      <c r="G242" s="101">
        <v>2</v>
      </c>
      <c r="H242" s="101">
        <v>2011</v>
      </c>
      <c r="I242" s="101">
        <v>140</v>
      </c>
      <c r="J242" s="101">
        <f t="shared" si="28"/>
        <v>100</v>
      </c>
      <c r="K242" s="101">
        <f t="shared" si="30"/>
        <v>0</v>
      </c>
      <c r="L242" s="101"/>
      <c r="M242" s="101"/>
      <c r="N242" s="72"/>
      <c r="O242" s="101"/>
      <c r="P242" s="101"/>
      <c r="Q242" s="72"/>
    </row>
    <row r="243" spans="1:17" ht="15">
      <c r="A243" s="101"/>
      <c r="B243" s="101"/>
      <c r="C243" s="124">
        <v>108</v>
      </c>
      <c r="D243" s="101" t="s">
        <v>555</v>
      </c>
      <c r="E243" s="103"/>
      <c r="F243" s="101"/>
      <c r="G243" s="101">
        <v>7</v>
      </c>
      <c r="H243" s="101">
        <v>2011</v>
      </c>
      <c r="I243" s="101">
        <v>665</v>
      </c>
      <c r="J243" s="101">
        <f t="shared" si="28"/>
        <v>100</v>
      </c>
      <c r="K243" s="101">
        <f t="shared" si="30"/>
        <v>0</v>
      </c>
      <c r="L243" s="101"/>
      <c r="M243" s="101"/>
      <c r="N243" s="72"/>
      <c r="O243" s="101"/>
      <c r="P243" s="101"/>
      <c r="Q243" s="72"/>
    </row>
    <row r="244" spans="1:17" ht="15">
      <c r="A244" s="101"/>
      <c r="B244" s="101"/>
      <c r="C244" s="124">
        <v>109</v>
      </c>
      <c r="D244" s="101" t="s">
        <v>645</v>
      </c>
      <c r="E244" s="103"/>
      <c r="F244" s="101"/>
      <c r="G244" s="101">
        <v>12</v>
      </c>
      <c r="H244" s="101">
        <v>2010</v>
      </c>
      <c r="I244" s="101">
        <v>176</v>
      </c>
      <c r="J244" s="101">
        <f t="shared" si="28"/>
        <v>100</v>
      </c>
      <c r="K244" s="101">
        <f t="shared" si="30"/>
        <v>0</v>
      </c>
      <c r="L244" s="101"/>
      <c r="M244" s="101"/>
      <c r="N244" s="72"/>
      <c r="O244" s="101"/>
      <c r="P244" s="101"/>
      <c r="Q244" s="72"/>
    </row>
    <row r="245" spans="1:17" ht="15">
      <c r="A245" s="101"/>
      <c r="B245" s="101"/>
      <c r="C245" s="124">
        <v>110</v>
      </c>
      <c r="D245" s="101" t="s">
        <v>646</v>
      </c>
      <c r="E245" s="103"/>
      <c r="F245" s="101"/>
      <c r="G245" s="101">
        <v>60</v>
      </c>
      <c r="H245" s="101">
        <v>2012</v>
      </c>
      <c r="I245" s="101">
        <v>919</v>
      </c>
      <c r="J245" s="101">
        <f t="shared" si="28"/>
        <v>100</v>
      </c>
      <c r="K245" s="101">
        <f t="shared" si="30"/>
        <v>0</v>
      </c>
      <c r="L245" s="101"/>
      <c r="M245" s="101"/>
      <c r="N245" s="72"/>
      <c r="O245" s="101"/>
      <c r="P245" s="101"/>
      <c r="Q245" s="72"/>
    </row>
    <row r="246" spans="1:17" ht="15">
      <c r="A246" s="101"/>
      <c r="B246" s="101"/>
      <c r="C246" s="124">
        <v>111</v>
      </c>
      <c r="D246" s="101" t="s">
        <v>647</v>
      </c>
      <c r="E246" s="103"/>
      <c r="F246" s="101"/>
      <c r="G246" s="101">
        <v>18</v>
      </c>
      <c r="H246" s="101">
        <v>2011</v>
      </c>
      <c r="I246" s="101">
        <v>327</v>
      </c>
      <c r="J246" s="101">
        <f t="shared" si="28"/>
        <v>100</v>
      </c>
      <c r="K246" s="101">
        <f t="shared" si="30"/>
        <v>0</v>
      </c>
      <c r="L246" s="101"/>
      <c r="M246" s="101"/>
      <c r="N246" s="72"/>
      <c r="O246" s="101"/>
      <c r="P246" s="101"/>
      <c r="Q246" s="72"/>
    </row>
    <row r="247" spans="1:17" ht="15">
      <c r="A247" s="101"/>
      <c r="B247" s="101"/>
      <c r="C247" s="124">
        <v>112</v>
      </c>
      <c r="D247" s="101" t="s">
        <v>648</v>
      </c>
      <c r="E247" s="103"/>
      <c r="F247" s="101"/>
      <c r="G247" s="101">
        <v>73</v>
      </c>
      <c r="H247" s="101">
        <v>2011</v>
      </c>
      <c r="I247" s="101">
        <v>1605</v>
      </c>
      <c r="J247" s="101">
        <f t="shared" si="28"/>
        <v>100</v>
      </c>
      <c r="K247" s="101">
        <f t="shared" si="30"/>
        <v>0</v>
      </c>
      <c r="L247" s="101"/>
      <c r="M247" s="101"/>
      <c r="N247" s="72"/>
      <c r="O247" s="101"/>
      <c r="P247" s="101"/>
      <c r="Q247" s="72"/>
    </row>
    <row r="248" spans="1:17" ht="15">
      <c r="A248" s="101"/>
      <c r="B248" s="101"/>
      <c r="C248" s="124">
        <v>113</v>
      </c>
      <c r="D248" s="101" t="s">
        <v>649</v>
      </c>
      <c r="E248" s="103"/>
      <c r="F248" s="101"/>
      <c r="G248" s="101">
        <v>24</v>
      </c>
      <c r="H248" s="101">
        <v>2011</v>
      </c>
      <c r="I248" s="101">
        <v>522</v>
      </c>
      <c r="J248" s="101">
        <f t="shared" si="28"/>
        <v>100</v>
      </c>
      <c r="K248" s="101">
        <f t="shared" si="30"/>
        <v>0</v>
      </c>
      <c r="L248" s="101"/>
      <c r="M248" s="101"/>
      <c r="N248" s="72"/>
      <c r="O248" s="101"/>
      <c r="P248" s="101"/>
      <c r="Q248" s="72"/>
    </row>
    <row r="249" spans="1:17" ht="30.75">
      <c r="A249" s="427"/>
      <c r="B249" s="427"/>
      <c r="C249" s="453">
        <v>621</v>
      </c>
      <c r="D249" s="454" t="s">
        <v>289</v>
      </c>
      <c r="E249" s="411">
        <v>5</v>
      </c>
      <c r="F249" s="101"/>
      <c r="G249" s="397">
        <f>SUM(G250:G263)</f>
        <v>78</v>
      </c>
      <c r="H249" s="101"/>
      <c r="I249" s="101"/>
      <c r="J249" s="432">
        <v>20</v>
      </c>
      <c r="K249" s="101"/>
      <c r="L249" s="397">
        <f>SUM(L250:L263)</f>
        <v>0</v>
      </c>
      <c r="M249" s="101"/>
      <c r="N249" s="397">
        <f>SUM(N250:N263)</f>
        <v>0</v>
      </c>
      <c r="O249" s="397">
        <f>SUM(O250:O263)</f>
        <v>0</v>
      </c>
      <c r="P249" s="101"/>
      <c r="Q249" s="397">
        <f>SUM(Q250:Q263)</f>
        <v>0</v>
      </c>
    </row>
    <row r="250" spans="3:17" ht="15">
      <c r="C250" s="124">
        <v>1</v>
      </c>
      <c r="D250" s="101" t="s">
        <v>556</v>
      </c>
      <c r="E250" s="103"/>
      <c r="F250" s="101"/>
      <c r="G250" s="101">
        <v>2</v>
      </c>
      <c r="H250" s="101">
        <v>1997</v>
      </c>
      <c r="I250" s="101">
        <v>400</v>
      </c>
      <c r="J250" s="101">
        <f aca="true" t="shared" si="31" ref="J250:J263">IF(($J$14-H250)*J$249&gt;100,100,($J$14-H250)*J$249)</f>
        <v>100</v>
      </c>
      <c r="K250" s="101">
        <f>IF(J250=100,0,I250-I250*J250%)</f>
        <v>0</v>
      </c>
      <c r="L250" s="101"/>
      <c r="M250" s="101"/>
      <c r="N250" s="72">
        <f>+L250*M250</f>
        <v>0</v>
      </c>
      <c r="O250" s="101"/>
      <c r="P250" s="101"/>
      <c r="Q250" s="72">
        <f>+O250*P250</f>
        <v>0</v>
      </c>
    </row>
    <row r="251" spans="3:17" ht="15">
      <c r="C251" s="124">
        <v>2</v>
      </c>
      <c r="D251" s="101" t="s">
        <v>557</v>
      </c>
      <c r="E251" s="103"/>
      <c r="F251" s="101"/>
      <c r="G251" s="101">
        <v>2</v>
      </c>
      <c r="H251" s="101">
        <v>2007</v>
      </c>
      <c r="I251" s="101">
        <v>73</v>
      </c>
      <c r="J251" s="101">
        <f t="shared" si="31"/>
        <v>100</v>
      </c>
      <c r="K251" s="101">
        <f>IF(J251=100,0,I251-I251*J251%)</f>
        <v>0</v>
      </c>
      <c r="L251" s="101"/>
      <c r="M251" s="101"/>
      <c r="N251" s="72"/>
      <c r="O251" s="101"/>
      <c r="P251" s="101"/>
      <c r="Q251" s="72"/>
    </row>
    <row r="252" spans="3:17" ht="15">
      <c r="C252" s="124">
        <v>3</v>
      </c>
      <c r="D252" s="101" t="s">
        <v>558</v>
      </c>
      <c r="E252" s="103"/>
      <c r="F252" s="101"/>
      <c r="G252" s="101">
        <v>1</v>
      </c>
      <c r="H252" s="101">
        <v>1997</v>
      </c>
      <c r="I252" s="101">
        <v>19.6</v>
      </c>
      <c r="J252" s="101">
        <f t="shared" si="31"/>
        <v>100</v>
      </c>
      <c r="K252" s="101">
        <f>IF(J252=100,0,I252-I252*J252%)</f>
        <v>0</v>
      </c>
      <c r="L252" s="101"/>
      <c r="M252" s="101"/>
      <c r="N252" s="72"/>
      <c r="O252" s="101"/>
      <c r="P252" s="101"/>
      <c r="Q252" s="72"/>
    </row>
    <row r="253" spans="3:17" ht="15">
      <c r="C253" s="124">
        <v>4</v>
      </c>
      <c r="D253" s="101" t="s">
        <v>559</v>
      </c>
      <c r="E253" s="103"/>
      <c r="F253" s="101"/>
      <c r="G253" s="101">
        <v>1</v>
      </c>
      <c r="H253" s="101">
        <v>1997</v>
      </c>
      <c r="I253" s="101">
        <v>13.9</v>
      </c>
      <c r="J253" s="101">
        <f t="shared" si="31"/>
        <v>100</v>
      </c>
      <c r="K253" s="101">
        <f>IF(J253=100,0,I253-I253*J253%)</f>
        <v>0</v>
      </c>
      <c r="L253" s="101"/>
      <c r="M253" s="101"/>
      <c r="N253" s="72"/>
      <c r="O253" s="101"/>
      <c r="P253" s="101"/>
      <c r="Q253" s="72"/>
    </row>
    <row r="254" spans="3:17" ht="15">
      <c r="C254" s="124">
        <v>5</v>
      </c>
      <c r="D254" s="101" t="s">
        <v>560</v>
      </c>
      <c r="E254" s="103"/>
      <c r="F254" s="101"/>
      <c r="G254" s="101">
        <v>20</v>
      </c>
      <c r="H254" s="101">
        <v>2019</v>
      </c>
      <c r="I254" s="101">
        <v>270</v>
      </c>
      <c r="J254" s="101">
        <f t="shared" si="31"/>
        <v>80</v>
      </c>
      <c r="K254" s="101">
        <f>IF(J254=100,0,I254-I254*J254%)</f>
        <v>54</v>
      </c>
      <c r="L254" s="101"/>
      <c r="M254" s="101"/>
      <c r="N254" s="72"/>
      <c r="O254" s="101"/>
      <c r="P254" s="101"/>
      <c r="Q254" s="72"/>
    </row>
    <row r="255" spans="3:17" ht="15">
      <c r="C255" s="124">
        <v>6</v>
      </c>
      <c r="D255" s="101" t="s">
        <v>561</v>
      </c>
      <c r="E255" s="103"/>
      <c r="F255" s="101"/>
      <c r="G255" s="101">
        <v>2</v>
      </c>
      <c r="H255" s="101">
        <v>2007</v>
      </c>
      <c r="I255" s="101">
        <v>27.8</v>
      </c>
      <c r="J255" s="101">
        <f t="shared" si="31"/>
        <v>100</v>
      </c>
      <c r="K255" s="101">
        <f aca="true" t="shared" si="32" ref="K255:K260">IF(J255=100,0,I255-I255*J255%)</f>
        <v>0</v>
      </c>
      <c r="L255" s="101"/>
      <c r="M255" s="101"/>
      <c r="N255" s="72"/>
      <c r="O255" s="101"/>
      <c r="P255" s="101"/>
      <c r="Q255" s="72"/>
    </row>
    <row r="256" spans="3:17" ht="15">
      <c r="C256" s="124">
        <v>7</v>
      </c>
      <c r="D256" s="101" t="s">
        <v>561</v>
      </c>
      <c r="E256" s="103"/>
      <c r="F256" s="101"/>
      <c r="G256" s="101">
        <v>15</v>
      </c>
      <c r="H256" s="101">
        <v>2007</v>
      </c>
      <c r="I256" s="101">
        <v>43</v>
      </c>
      <c r="J256" s="101">
        <f t="shared" si="31"/>
        <v>100</v>
      </c>
      <c r="K256" s="101">
        <f t="shared" si="32"/>
        <v>0</v>
      </c>
      <c r="L256" s="101"/>
      <c r="M256" s="101"/>
      <c r="N256" s="72"/>
      <c r="O256" s="101"/>
      <c r="P256" s="101"/>
      <c r="Q256" s="72"/>
    </row>
    <row r="257" spans="3:17" ht="15">
      <c r="C257" s="124">
        <v>8</v>
      </c>
      <c r="D257" s="101" t="s">
        <v>559</v>
      </c>
      <c r="E257" s="103"/>
      <c r="F257" s="101"/>
      <c r="G257" s="101">
        <v>6</v>
      </c>
      <c r="H257" s="101">
        <v>1997</v>
      </c>
      <c r="I257" s="101">
        <v>83.4</v>
      </c>
      <c r="J257" s="101">
        <f t="shared" si="31"/>
        <v>100</v>
      </c>
      <c r="K257" s="101">
        <f t="shared" si="32"/>
        <v>0</v>
      </c>
      <c r="L257" s="101"/>
      <c r="M257" s="101"/>
      <c r="N257" s="72"/>
      <c r="O257" s="101"/>
      <c r="P257" s="101"/>
      <c r="Q257" s="72"/>
    </row>
    <row r="258" spans="3:17" ht="15">
      <c r="C258" s="124">
        <v>9</v>
      </c>
      <c r="D258" s="101" t="s">
        <v>559</v>
      </c>
      <c r="E258" s="103"/>
      <c r="F258" s="101"/>
      <c r="G258" s="101">
        <v>1</v>
      </c>
      <c r="H258" s="101">
        <v>1997</v>
      </c>
      <c r="I258" s="101">
        <v>7.2</v>
      </c>
      <c r="J258" s="101">
        <f t="shared" si="31"/>
        <v>100</v>
      </c>
      <c r="K258" s="101">
        <f t="shared" si="32"/>
        <v>0</v>
      </c>
      <c r="L258" s="101"/>
      <c r="M258" s="101"/>
      <c r="N258" s="72"/>
      <c r="O258" s="101"/>
      <c r="P258" s="101"/>
      <c r="Q258" s="72"/>
    </row>
    <row r="259" spans="3:17" ht="15">
      <c r="C259" s="124">
        <v>10</v>
      </c>
      <c r="D259" s="101" t="s">
        <v>562</v>
      </c>
      <c r="E259" s="103"/>
      <c r="F259" s="101"/>
      <c r="G259" s="101">
        <v>2</v>
      </c>
      <c r="H259" s="101">
        <v>2007</v>
      </c>
      <c r="I259" s="101">
        <v>45.2</v>
      </c>
      <c r="J259" s="101">
        <f t="shared" si="31"/>
        <v>100</v>
      </c>
      <c r="K259" s="101">
        <f t="shared" si="32"/>
        <v>0</v>
      </c>
      <c r="L259" s="101"/>
      <c r="M259" s="101"/>
      <c r="N259" s="72">
        <f>+L259*M259</f>
        <v>0</v>
      </c>
      <c r="O259" s="101"/>
      <c r="P259" s="101"/>
      <c r="Q259" s="72">
        <f>+O259*P259</f>
        <v>0</v>
      </c>
    </row>
    <row r="260" spans="3:17" ht="15">
      <c r="C260" s="124">
        <v>11</v>
      </c>
      <c r="D260" s="101" t="s">
        <v>563</v>
      </c>
      <c r="E260" s="103"/>
      <c r="F260" s="101"/>
      <c r="G260" s="101">
        <v>1</v>
      </c>
      <c r="H260" s="101">
        <v>2007</v>
      </c>
      <c r="I260" s="101">
        <v>14</v>
      </c>
      <c r="J260" s="101">
        <f t="shared" si="31"/>
        <v>100</v>
      </c>
      <c r="K260" s="101">
        <f t="shared" si="32"/>
        <v>0</v>
      </c>
      <c r="L260" s="101"/>
      <c r="M260" s="101"/>
      <c r="N260" s="72"/>
      <c r="O260" s="101"/>
      <c r="P260" s="101"/>
      <c r="Q260" s="72"/>
    </row>
    <row r="261" spans="3:17" ht="15">
      <c r="C261" s="124">
        <v>12</v>
      </c>
      <c r="D261" s="101" t="s">
        <v>562</v>
      </c>
      <c r="E261" s="103"/>
      <c r="F261" s="101"/>
      <c r="G261" s="101">
        <v>7</v>
      </c>
      <c r="H261" s="101">
        <v>2007</v>
      </c>
      <c r="I261" s="101">
        <v>37</v>
      </c>
      <c r="J261" s="101">
        <f t="shared" si="31"/>
        <v>100</v>
      </c>
      <c r="K261" s="101">
        <f>IF(J261=100,0,I261-I261*J261%)</f>
        <v>0</v>
      </c>
      <c r="L261" s="101"/>
      <c r="M261" s="101"/>
      <c r="N261" s="72"/>
      <c r="O261" s="101"/>
      <c r="P261" s="101"/>
      <c r="Q261" s="72"/>
    </row>
    <row r="262" spans="3:17" ht="15">
      <c r="C262" s="124">
        <v>13</v>
      </c>
      <c r="D262" s="101" t="s">
        <v>564</v>
      </c>
      <c r="E262" s="103"/>
      <c r="F262" s="101"/>
      <c r="G262" s="101">
        <v>13</v>
      </c>
      <c r="H262" s="101">
        <v>2007</v>
      </c>
      <c r="I262" s="101">
        <v>74.8</v>
      </c>
      <c r="J262" s="101">
        <f t="shared" si="31"/>
        <v>100</v>
      </c>
      <c r="K262" s="101">
        <f>IF(J262=100,0,I262-I262*J262%)</f>
        <v>0</v>
      </c>
      <c r="L262" s="101"/>
      <c r="M262" s="101"/>
      <c r="N262" s="72"/>
      <c r="O262" s="101"/>
      <c r="P262" s="101"/>
      <c r="Q262" s="72"/>
    </row>
    <row r="263" spans="3:17" ht="15">
      <c r="C263" s="124">
        <v>14</v>
      </c>
      <c r="D263" s="101" t="s">
        <v>565</v>
      </c>
      <c r="E263" s="103"/>
      <c r="F263" s="101"/>
      <c r="G263" s="101">
        <v>5</v>
      </c>
      <c r="H263" s="101">
        <v>2007</v>
      </c>
      <c r="I263" s="101"/>
      <c r="J263" s="101">
        <f t="shared" si="31"/>
        <v>100</v>
      </c>
      <c r="K263" s="101">
        <f>IF(J263=100,0,I263-I263*J263%)</f>
        <v>0</v>
      </c>
      <c r="L263" s="101"/>
      <c r="M263" s="101"/>
      <c r="N263" s="72"/>
      <c r="O263" s="101"/>
      <c r="P263" s="101"/>
      <c r="Q263" s="72"/>
    </row>
    <row r="264" spans="1:17" ht="101.25" customHeight="1">
      <c r="A264" s="427"/>
      <c r="B264" s="427"/>
      <c r="C264" s="426">
        <v>622</v>
      </c>
      <c r="D264" s="410" t="s">
        <v>292</v>
      </c>
      <c r="E264" s="411">
        <v>8</v>
      </c>
      <c r="F264" s="101"/>
      <c r="G264" s="397">
        <f>SUM(G265:G320)</f>
        <v>152</v>
      </c>
      <c r="H264" s="101"/>
      <c r="I264" s="101"/>
      <c r="J264" s="432">
        <v>12.5</v>
      </c>
      <c r="K264" s="101"/>
      <c r="L264" s="397">
        <f>SUM(L265:L320)</f>
        <v>0</v>
      </c>
      <c r="M264" s="101"/>
      <c r="N264" s="397">
        <f>+L264*M264</f>
        <v>0</v>
      </c>
      <c r="O264" s="397"/>
      <c r="P264" s="101"/>
      <c r="Q264" s="397">
        <f>+O264*P264</f>
        <v>0</v>
      </c>
    </row>
    <row r="265" spans="3:17" ht="15">
      <c r="C265" s="124">
        <v>1</v>
      </c>
      <c r="D265" s="101" t="s">
        <v>566</v>
      </c>
      <c r="E265" s="103"/>
      <c r="F265" s="101"/>
      <c r="G265" s="101">
        <v>1</v>
      </c>
      <c r="H265" s="101">
        <v>1996</v>
      </c>
      <c r="I265" s="101">
        <v>130</v>
      </c>
      <c r="J265" s="101">
        <f aca="true" t="shared" si="33" ref="J265:J296">IF(($J$14-H265)*J$264&gt;100,100,($J$14-H265)*J$264)</f>
        <v>100</v>
      </c>
      <c r="K265" s="101">
        <f>IF(J265=100,0,I265-I265*J265%)</f>
        <v>0</v>
      </c>
      <c r="L265" s="101"/>
      <c r="M265" s="101"/>
      <c r="N265" s="72">
        <f>+L265*M265</f>
        <v>0</v>
      </c>
      <c r="O265" s="101"/>
      <c r="P265" s="101"/>
      <c r="Q265" s="72">
        <f>+O265*P265</f>
        <v>0</v>
      </c>
    </row>
    <row r="266" spans="3:17" ht="15">
      <c r="C266" s="124">
        <v>2</v>
      </c>
      <c r="D266" s="101" t="s">
        <v>567</v>
      </c>
      <c r="E266" s="103"/>
      <c r="F266" s="101"/>
      <c r="G266" s="101">
        <v>9</v>
      </c>
      <c r="H266" s="101">
        <v>1997</v>
      </c>
      <c r="I266" s="101">
        <v>859</v>
      </c>
      <c r="J266" s="101">
        <f t="shared" si="33"/>
        <v>100</v>
      </c>
      <c r="K266" s="101">
        <f aca="true" t="shared" si="34" ref="K266:K273">IF(J266=100,0,I266-I266*J266%)</f>
        <v>0</v>
      </c>
      <c r="L266" s="101"/>
      <c r="M266" s="101"/>
      <c r="N266" s="72"/>
      <c r="O266" s="101"/>
      <c r="P266" s="101"/>
      <c r="Q266" s="72"/>
    </row>
    <row r="267" spans="3:17" ht="15">
      <c r="C267" s="124">
        <v>3</v>
      </c>
      <c r="D267" s="101" t="s">
        <v>568</v>
      </c>
      <c r="E267" s="103"/>
      <c r="F267" s="101"/>
      <c r="G267" s="101">
        <v>1</v>
      </c>
      <c r="H267" s="101">
        <v>1997</v>
      </c>
      <c r="I267" s="101">
        <v>1</v>
      </c>
      <c r="J267" s="101">
        <f t="shared" si="33"/>
        <v>100</v>
      </c>
      <c r="K267" s="101">
        <f t="shared" si="34"/>
        <v>0</v>
      </c>
      <c r="L267" s="101"/>
      <c r="M267" s="101"/>
      <c r="N267" s="72"/>
      <c r="O267" s="101"/>
      <c r="P267" s="101"/>
      <c r="Q267" s="72"/>
    </row>
    <row r="268" spans="3:17" ht="15">
      <c r="C268" s="124">
        <v>4</v>
      </c>
      <c r="D268" s="101" t="s">
        <v>569</v>
      </c>
      <c r="E268" s="103"/>
      <c r="F268" s="101"/>
      <c r="G268" s="101">
        <v>1</v>
      </c>
      <c r="H268" s="101">
        <v>1997</v>
      </c>
      <c r="I268" s="101">
        <v>3</v>
      </c>
      <c r="J268" s="101">
        <f t="shared" si="33"/>
        <v>100</v>
      </c>
      <c r="K268" s="101">
        <f t="shared" si="34"/>
        <v>0</v>
      </c>
      <c r="L268" s="101"/>
      <c r="M268" s="101"/>
      <c r="N268" s="72"/>
      <c r="O268" s="101"/>
      <c r="P268" s="101"/>
      <c r="Q268" s="72"/>
    </row>
    <row r="269" spans="3:17" ht="15">
      <c r="C269" s="124">
        <v>5</v>
      </c>
      <c r="D269" s="101" t="s">
        <v>570</v>
      </c>
      <c r="E269" s="103"/>
      <c r="F269" s="101"/>
      <c r="G269" s="101">
        <v>1</v>
      </c>
      <c r="H269" s="101">
        <v>1999</v>
      </c>
      <c r="I269" s="101">
        <v>296</v>
      </c>
      <c r="J269" s="101">
        <f t="shared" si="33"/>
        <v>100</v>
      </c>
      <c r="K269" s="101">
        <f t="shared" si="34"/>
        <v>0</v>
      </c>
      <c r="L269" s="101"/>
      <c r="M269" s="101"/>
      <c r="N269" s="72"/>
      <c r="O269" s="101"/>
      <c r="P269" s="101"/>
      <c r="Q269" s="72"/>
    </row>
    <row r="270" spans="3:17" ht="15">
      <c r="C270" s="124">
        <v>6</v>
      </c>
      <c r="D270" s="101" t="s">
        <v>571</v>
      </c>
      <c r="E270" s="103"/>
      <c r="F270" s="101"/>
      <c r="G270" s="101">
        <v>1</v>
      </c>
      <c r="H270" s="101">
        <v>2000</v>
      </c>
      <c r="I270" s="101">
        <v>1508</v>
      </c>
      <c r="J270" s="101">
        <f t="shared" si="33"/>
        <v>100</v>
      </c>
      <c r="K270" s="101">
        <f t="shared" si="34"/>
        <v>0</v>
      </c>
      <c r="L270" s="101"/>
      <c r="M270" s="101"/>
      <c r="N270" s="72"/>
      <c r="O270" s="101"/>
      <c r="P270" s="101"/>
      <c r="Q270" s="72"/>
    </row>
    <row r="271" spans="3:17" ht="17.25" customHeight="1">
      <c r="C271" s="124">
        <v>7</v>
      </c>
      <c r="D271" s="101" t="s">
        <v>572</v>
      </c>
      <c r="E271" s="103"/>
      <c r="F271" s="101"/>
      <c r="G271" s="101">
        <v>2</v>
      </c>
      <c r="H271" s="101">
        <v>2000</v>
      </c>
      <c r="I271" s="101">
        <v>156</v>
      </c>
      <c r="J271" s="101">
        <f t="shared" si="33"/>
        <v>100</v>
      </c>
      <c r="K271" s="101">
        <f t="shared" si="34"/>
        <v>0</v>
      </c>
      <c r="L271" s="101"/>
      <c r="M271" s="101"/>
      <c r="N271" s="72"/>
      <c r="O271" s="101"/>
      <c r="P271" s="101"/>
      <c r="Q271" s="72"/>
    </row>
    <row r="272" spans="3:17" ht="15.75" customHeight="1">
      <c r="C272" s="124">
        <v>8</v>
      </c>
      <c r="D272" s="101" t="s">
        <v>573</v>
      </c>
      <c r="E272" s="103"/>
      <c r="F272" s="101"/>
      <c r="G272" s="101">
        <v>1</v>
      </c>
      <c r="H272" s="101">
        <v>2001</v>
      </c>
      <c r="I272" s="101">
        <v>137</v>
      </c>
      <c r="J272" s="101">
        <f t="shared" si="33"/>
        <v>100</v>
      </c>
      <c r="K272" s="101">
        <f t="shared" si="34"/>
        <v>0</v>
      </c>
      <c r="L272" s="101"/>
      <c r="M272" s="101"/>
      <c r="N272" s="72"/>
      <c r="O272" s="101"/>
      <c r="P272" s="101"/>
      <c r="Q272" s="72"/>
    </row>
    <row r="273" spans="3:17" ht="15.75" customHeight="1">
      <c r="C273" s="124">
        <v>9</v>
      </c>
      <c r="D273" s="101" t="s">
        <v>574</v>
      </c>
      <c r="E273" s="103"/>
      <c r="F273" s="101"/>
      <c r="G273" s="101">
        <v>1</v>
      </c>
      <c r="H273" s="101">
        <v>2001</v>
      </c>
      <c r="I273" s="101">
        <v>247</v>
      </c>
      <c r="J273" s="101">
        <f t="shared" si="33"/>
        <v>100</v>
      </c>
      <c r="K273" s="101">
        <f t="shared" si="34"/>
        <v>0</v>
      </c>
      <c r="L273" s="101"/>
      <c r="M273" s="101"/>
      <c r="N273" s="72"/>
      <c r="O273" s="101"/>
      <c r="P273" s="101"/>
      <c r="Q273" s="72"/>
    </row>
    <row r="274" spans="3:17" ht="15.75" customHeight="1">
      <c r="C274" s="124">
        <v>10</v>
      </c>
      <c r="D274" s="101" t="s">
        <v>575</v>
      </c>
      <c r="E274" s="103"/>
      <c r="F274" s="101"/>
      <c r="G274" s="101">
        <v>3</v>
      </c>
      <c r="H274" s="101">
        <v>2001</v>
      </c>
      <c r="I274" s="101">
        <v>338</v>
      </c>
      <c r="J274" s="101">
        <f t="shared" si="33"/>
        <v>100</v>
      </c>
      <c r="K274" s="101">
        <f aca="true" t="shared" si="35" ref="K274:K279">IF(J274=100,0,I274-I274*J274%)</f>
        <v>0</v>
      </c>
      <c r="L274" s="101"/>
      <c r="M274" s="101"/>
      <c r="N274" s="72"/>
      <c r="O274" s="101"/>
      <c r="P274" s="101"/>
      <c r="Q274" s="72"/>
    </row>
    <row r="275" spans="3:17" ht="15.75" customHeight="1">
      <c r="C275" s="124">
        <v>11</v>
      </c>
      <c r="D275" s="101" t="s">
        <v>576</v>
      </c>
      <c r="E275" s="103"/>
      <c r="F275" s="101"/>
      <c r="G275" s="101">
        <v>1</v>
      </c>
      <c r="H275" s="101">
        <v>2004</v>
      </c>
      <c r="I275" s="101">
        <v>3297</v>
      </c>
      <c r="J275" s="101">
        <f t="shared" si="33"/>
        <v>100</v>
      </c>
      <c r="K275" s="101">
        <f t="shared" si="35"/>
        <v>0</v>
      </c>
      <c r="L275" s="101"/>
      <c r="M275" s="101"/>
      <c r="N275" s="72"/>
      <c r="O275" s="101"/>
      <c r="P275" s="101"/>
      <c r="Q275" s="72"/>
    </row>
    <row r="276" spans="3:17" ht="15.75" customHeight="1">
      <c r="C276" s="124">
        <v>12</v>
      </c>
      <c r="D276" s="101" t="s">
        <v>577</v>
      </c>
      <c r="E276" s="103"/>
      <c r="F276" s="101"/>
      <c r="G276" s="101">
        <v>2</v>
      </c>
      <c r="H276" s="101">
        <v>2006</v>
      </c>
      <c r="I276" s="101">
        <v>440</v>
      </c>
      <c r="J276" s="101">
        <f t="shared" si="33"/>
        <v>100</v>
      </c>
      <c r="K276" s="101">
        <f t="shared" si="35"/>
        <v>0</v>
      </c>
      <c r="L276" s="101"/>
      <c r="M276" s="101"/>
      <c r="N276" s="72"/>
      <c r="O276" s="101"/>
      <c r="P276" s="101"/>
      <c r="Q276" s="72"/>
    </row>
    <row r="277" spans="3:17" ht="15.75" customHeight="1">
      <c r="C277" s="124">
        <v>13</v>
      </c>
      <c r="D277" s="101" t="s">
        <v>578</v>
      </c>
      <c r="E277" s="103"/>
      <c r="F277" s="101"/>
      <c r="G277" s="101">
        <v>1</v>
      </c>
      <c r="H277" s="101">
        <v>2006</v>
      </c>
      <c r="I277" s="101">
        <v>110</v>
      </c>
      <c r="J277" s="101">
        <f t="shared" si="33"/>
        <v>100</v>
      </c>
      <c r="K277" s="101">
        <f t="shared" si="35"/>
        <v>0</v>
      </c>
      <c r="L277" s="101"/>
      <c r="M277" s="101"/>
      <c r="N277" s="72"/>
      <c r="O277" s="101"/>
      <c r="P277" s="101"/>
      <c r="Q277" s="72"/>
    </row>
    <row r="278" spans="3:17" ht="15.75" customHeight="1">
      <c r="C278" s="124">
        <v>14</v>
      </c>
      <c r="D278" s="101" t="s">
        <v>579</v>
      </c>
      <c r="E278" s="103"/>
      <c r="F278" s="101"/>
      <c r="G278" s="101">
        <v>1</v>
      </c>
      <c r="H278" s="101">
        <v>2006</v>
      </c>
      <c r="I278" s="101">
        <v>72</v>
      </c>
      <c r="J278" s="101">
        <f t="shared" si="33"/>
        <v>100</v>
      </c>
      <c r="K278" s="101">
        <f t="shared" si="35"/>
        <v>0</v>
      </c>
      <c r="L278" s="101"/>
      <c r="M278" s="101"/>
      <c r="N278" s="72"/>
      <c r="O278" s="101"/>
      <c r="P278" s="101"/>
      <c r="Q278" s="72"/>
    </row>
    <row r="279" spans="3:17" ht="15.75" customHeight="1">
      <c r="C279" s="124">
        <v>15</v>
      </c>
      <c r="D279" s="101" t="s">
        <v>580</v>
      </c>
      <c r="E279" s="103"/>
      <c r="F279" s="101"/>
      <c r="G279" s="101">
        <v>2</v>
      </c>
      <c r="H279" s="101">
        <v>2006</v>
      </c>
      <c r="I279" s="101">
        <v>114</v>
      </c>
      <c r="J279" s="101">
        <f t="shared" si="33"/>
        <v>100</v>
      </c>
      <c r="K279" s="101">
        <f t="shared" si="35"/>
        <v>0</v>
      </c>
      <c r="L279" s="101"/>
      <c r="M279" s="101"/>
      <c r="N279" s="72"/>
      <c r="O279" s="101"/>
      <c r="P279" s="101"/>
      <c r="Q279" s="72"/>
    </row>
    <row r="280" spans="3:17" ht="15.75" customHeight="1">
      <c r="C280" s="124">
        <v>16</v>
      </c>
      <c r="D280" s="101" t="s">
        <v>581</v>
      </c>
      <c r="E280" s="103"/>
      <c r="F280" s="101"/>
      <c r="G280" s="101">
        <v>1</v>
      </c>
      <c r="H280" s="101">
        <v>2006</v>
      </c>
      <c r="I280" s="101">
        <v>40</v>
      </c>
      <c r="J280" s="101">
        <f t="shared" si="33"/>
        <v>100</v>
      </c>
      <c r="K280" s="101">
        <f aca="true" t="shared" si="36" ref="K280:K293">IF(J280=100,0,I280-I280*J280%)</f>
        <v>0</v>
      </c>
      <c r="L280" s="101"/>
      <c r="M280" s="101"/>
      <c r="N280" s="72"/>
      <c r="O280" s="101"/>
      <c r="P280" s="101"/>
      <c r="Q280" s="72"/>
    </row>
    <row r="281" spans="3:17" ht="15.75" customHeight="1">
      <c r="C281" s="124">
        <v>17</v>
      </c>
      <c r="D281" s="101" t="s">
        <v>582</v>
      </c>
      <c r="E281" s="103"/>
      <c r="F281" s="101"/>
      <c r="G281" s="101">
        <v>2</v>
      </c>
      <c r="H281" s="101">
        <v>2007</v>
      </c>
      <c r="I281" s="101">
        <v>499</v>
      </c>
      <c r="J281" s="101">
        <f t="shared" si="33"/>
        <v>100</v>
      </c>
      <c r="K281" s="101">
        <f t="shared" si="36"/>
        <v>0</v>
      </c>
      <c r="L281" s="101"/>
      <c r="M281" s="101"/>
      <c r="N281" s="72"/>
      <c r="O281" s="101"/>
      <c r="P281" s="101"/>
      <c r="Q281" s="72"/>
    </row>
    <row r="282" spans="3:17" ht="15.75" customHeight="1">
      <c r="C282" s="124">
        <v>18</v>
      </c>
      <c r="D282" s="101" t="s">
        <v>583</v>
      </c>
      <c r="E282" s="103"/>
      <c r="F282" s="101"/>
      <c r="G282" s="101">
        <v>1</v>
      </c>
      <c r="H282" s="101">
        <v>2007</v>
      </c>
      <c r="I282" s="101">
        <v>82</v>
      </c>
      <c r="J282" s="101">
        <f t="shared" si="33"/>
        <v>100</v>
      </c>
      <c r="K282" s="101">
        <f t="shared" si="36"/>
        <v>0</v>
      </c>
      <c r="L282" s="101"/>
      <c r="M282" s="101"/>
      <c r="N282" s="72"/>
      <c r="O282" s="101"/>
      <c r="P282" s="101"/>
      <c r="Q282" s="72"/>
    </row>
    <row r="283" spans="3:17" ht="15.75" customHeight="1">
      <c r="C283" s="124">
        <v>19</v>
      </c>
      <c r="D283" s="101" t="s">
        <v>584</v>
      </c>
      <c r="E283" s="103"/>
      <c r="F283" s="101"/>
      <c r="G283" s="101">
        <v>1</v>
      </c>
      <c r="H283" s="101">
        <v>2007</v>
      </c>
      <c r="I283" s="101">
        <v>26</v>
      </c>
      <c r="J283" s="101">
        <f t="shared" si="33"/>
        <v>100</v>
      </c>
      <c r="K283" s="101">
        <f t="shared" si="36"/>
        <v>0</v>
      </c>
      <c r="L283" s="101"/>
      <c r="M283" s="101"/>
      <c r="N283" s="72"/>
      <c r="O283" s="101"/>
      <c r="P283" s="101"/>
      <c r="Q283" s="72"/>
    </row>
    <row r="284" spans="3:17" ht="15.75" customHeight="1">
      <c r="C284" s="124">
        <v>20</v>
      </c>
      <c r="D284" s="101" t="s">
        <v>585</v>
      </c>
      <c r="E284" s="103"/>
      <c r="F284" s="101"/>
      <c r="G284" s="101">
        <v>3</v>
      </c>
      <c r="H284" s="101">
        <v>2013</v>
      </c>
      <c r="I284" s="101">
        <v>57</v>
      </c>
      <c r="J284" s="101">
        <f t="shared" si="33"/>
        <v>100</v>
      </c>
      <c r="K284" s="101">
        <f t="shared" si="36"/>
        <v>0</v>
      </c>
      <c r="L284" s="101"/>
      <c r="M284" s="101"/>
      <c r="N284" s="72"/>
      <c r="O284" s="101"/>
      <c r="P284" s="101"/>
      <c r="Q284" s="72"/>
    </row>
    <row r="285" spans="3:17" ht="15.75" customHeight="1">
      <c r="C285" s="124">
        <v>21</v>
      </c>
      <c r="D285" s="101" t="s">
        <v>586</v>
      </c>
      <c r="E285" s="103"/>
      <c r="F285" s="101"/>
      <c r="G285" s="101">
        <v>2</v>
      </c>
      <c r="H285" s="101">
        <v>1996</v>
      </c>
      <c r="I285" s="101">
        <v>74</v>
      </c>
      <c r="J285" s="101">
        <f t="shared" si="33"/>
        <v>100</v>
      </c>
      <c r="K285" s="101">
        <f t="shared" si="36"/>
        <v>0</v>
      </c>
      <c r="L285" s="101"/>
      <c r="M285" s="101"/>
      <c r="N285" s="72"/>
      <c r="O285" s="101"/>
      <c r="P285" s="101"/>
      <c r="Q285" s="72"/>
    </row>
    <row r="286" spans="3:17" ht="15.75" customHeight="1">
      <c r="C286" s="124">
        <v>22</v>
      </c>
      <c r="D286" s="101" t="s">
        <v>587</v>
      </c>
      <c r="E286" s="103"/>
      <c r="F286" s="101"/>
      <c r="G286" s="101">
        <v>1</v>
      </c>
      <c r="H286" s="101">
        <v>1996</v>
      </c>
      <c r="I286" s="101">
        <v>57</v>
      </c>
      <c r="J286" s="101">
        <f t="shared" si="33"/>
        <v>100</v>
      </c>
      <c r="K286" s="101">
        <f t="shared" si="36"/>
        <v>0</v>
      </c>
      <c r="L286" s="101"/>
      <c r="M286" s="101"/>
      <c r="N286" s="72"/>
      <c r="O286" s="101"/>
      <c r="P286" s="101"/>
      <c r="Q286" s="72"/>
    </row>
    <row r="287" spans="3:17" ht="15">
      <c r="C287" s="124">
        <v>23</v>
      </c>
      <c r="D287" s="101" t="s">
        <v>588</v>
      </c>
      <c r="E287" s="103"/>
      <c r="F287" s="101"/>
      <c r="G287" s="101">
        <v>2</v>
      </c>
      <c r="H287" s="101">
        <v>1996</v>
      </c>
      <c r="I287" s="101">
        <v>32</v>
      </c>
      <c r="J287" s="101">
        <f t="shared" si="33"/>
        <v>100</v>
      </c>
      <c r="K287" s="101">
        <f t="shared" si="36"/>
        <v>0</v>
      </c>
      <c r="L287" s="101"/>
      <c r="M287" s="101"/>
      <c r="N287" s="72">
        <f>+L287*M287</f>
        <v>0</v>
      </c>
      <c r="O287" s="101"/>
      <c r="P287" s="101"/>
      <c r="Q287" s="72">
        <f>+O287*P287</f>
        <v>0</v>
      </c>
    </row>
    <row r="288" spans="3:17" ht="15">
      <c r="C288" s="124">
        <v>24</v>
      </c>
      <c r="D288" s="101" t="s">
        <v>589</v>
      </c>
      <c r="E288" s="103"/>
      <c r="F288" s="101"/>
      <c r="G288" s="101">
        <v>1</v>
      </c>
      <c r="H288" s="101">
        <v>2010</v>
      </c>
      <c r="I288" s="101">
        <v>23</v>
      </c>
      <c r="J288" s="101">
        <f t="shared" si="33"/>
        <v>100</v>
      </c>
      <c r="K288" s="101">
        <f t="shared" si="36"/>
        <v>0</v>
      </c>
      <c r="L288" s="101"/>
      <c r="M288" s="101"/>
      <c r="N288" s="72"/>
      <c r="O288" s="101"/>
      <c r="P288" s="101"/>
      <c r="Q288" s="72"/>
    </row>
    <row r="289" spans="3:17" ht="15">
      <c r="C289" s="124">
        <v>25</v>
      </c>
      <c r="D289" s="101" t="s">
        <v>590</v>
      </c>
      <c r="E289" s="103"/>
      <c r="F289" s="101"/>
      <c r="G289" s="101">
        <v>4</v>
      </c>
      <c r="H289" s="101">
        <v>2011</v>
      </c>
      <c r="I289" s="101">
        <v>676</v>
      </c>
      <c r="J289" s="101">
        <f t="shared" si="33"/>
        <v>100</v>
      </c>
      <c r="K289" s="101">
        <f t="shared" si="36"/>
        <v>0</v>
      </c>
      <c r="L289" s="101"/>
      <c r="M289" s="101"/>
      <c r="N289" s="72"/>
      <c r="O289" s="101"/>
      <c r="P289" s="101"/>
      <c r="Q289" s="72"/>
    </row>
    <row r="290" spans="3:17" ht="15">
      <c r="C290" s="124">
        <v>26</v>
      </c>
      <c r="D290" s="101" t="s">
        <v>591</v>
      </c>
      <c r="E290" s="103"/>
      <c r="F290" s="101"/>
      <c r="G290" s="101">
        <v>2</v>
      </c>
      <c r="H290" s="101">
        <v>2011</v>
      </c>
      <c r="I290" s="101">
        <v>139</v>
      </c>
      <c r="J290" s="101">
        <f t="shared" si="33"/>
        <v>100</v>
      </c>
      <c r="K290" s="101">
        <f t="shared" si="36"/>
        <v>0</v>
      </c>
      <c r="L290" s="101"/>
      <c r="M290" s="101"/>
      <c r="N290" s="72"/>
      <c r="O290" s="101"/>
      <c r="P290" s="101"/>
      <c r="Q290" s="72"/>
    </row>
    <row r="291" spans="3:17" ht="15">
      <c r="C291" s="124">
        <v>27</v>
      </c>
      <c r="D291" s="101" t="s">
        <v>592</v>
      </c>
      <c r="E291" s="103"/>
      <c r="F291" s="101"/>
      <c r="G291" s="101">
        <v>2</v>
      </c>
      <c r="H291" s="101">
        <v>2013</v>
      </c>
      <c r="I291" s="101">
        <v>128</v>
      </c>
      <c r="J291" s="101">
        <f t="shared" si="33"/>
        <v>100</v>
      </c>
      <c r="K291" s="101">
        <f t="shared" si="36"/>
        <v>0</v>
      </c>
      <c r="L291" s="101"/>
      <c r="M291" s="101"/>
      <c r="N291" s="72"/>
      <c r="O291" s="101"/>
      <c r="P291" s="101"/>
      <c r="Q291" s="72"/>
    </row>
    <row r="292" spans="3:17" ht="15">
      <c r="C292" s="124">
        <v>28</v>
      </c>
      <c r="D292" s="101" t="s">
        <v>593</v>
      </c>
      <c r="E292" s="103"/>
      <c r="F292" s="101"/>
      <c r="G292" s="101">
        <v>1</v>
      </c>
      <c r="H292" s="101">
        <v>2013</v>
      </c>
      <c r="I292" s="101">
        <v>74</v>
      </c>
      <c r="J292" s="101">
        <f t="shared" si="33"/>
        <v>100</v>
      </c>
      <c r="K292" s="101">
        <f t="shared" si="36"/>
        <v>0</v>
      </c>
      <c r="L292" s="101"/>
      <c r="M292" s="101"/>
      <c r="N292" s="72"/>
      <c r="O292" s="101"/>
      <c r="P292" s="101"/>
      <c r="Q292" s="72"/>
    </row>
    <row r="293" spans="3:17" ht="15">
      <c r="C293" s="124">
        <v>29</v>
      </c>
      <c r="D293" s="101" t="s">
        <v>594</v>
      </c>
      <c r="E293" s="103"/>
      <c r="F293" s="101"/>
      <c r="G293" s="101">
        <v>1</v>
      </c>
      <c r="H293" s="101">
        <v>2013</v>
      </c>
      <c r="I293" s="101">
        <v>325</v>
      </c>
      <c r="J293" s="101">
        <f t="shared" si="33"/>
        <v>100</v>
      </c>
      <c r="K293" s="101">
        <f t="shared" si="36"/>
        <v>0</v>
      </c>
      <c r="L293" s="101"/>
      <c r="M293" s="101"/>
      <c r="N293" s="72"/>
      <c r="O293" s="101"/>
      <c r="P293" s="101"/>
      <c r="Q293" s="72"/>
    </row>
    <row r="294" spans="3:17" ht="15">
      <c r="C294" s="124">
        <v>30</v>
      </c>
      <c r="D294" s="101" t="s">
        <v>595</v>
      </c>
      <c r="E294" s="103"/>
      <c r="F294" s="101"/>
      <c r="G294" s="101">
        <v>1</v>
      </c>
      <c r="H294" s="101">
        <v>2013</v>
      </c>
      <c r="I294" s="101">
        <v>138</v>
      </c>
      <c r="J294" s="101">
        <f t="shared" si="33"/>
        <v>100</v>
      </c>
      <c r="K294" s="101">
        <f aca="true" t="shared" si="37" ref="K294:K299">IF(J294=100,0,I294-I294*J294%)</f>
        <v>0</v>
      </c>
      <c r="L294" s="101"/>
      <c r="M294" s="101"/>
      <c r="N294" s="72"/>
      <c r="O294" s="101"/>
      <c r="P294" s="101"/>
      <c r="Q294" s="72"/>
    </row>
    <row r="295" spans="3:17" ht="15">
      <c r="C295" s="124">
        <v>31</v>
      </c>
      <c r="D295" s="101" t="s">
        <v>596</v>
      </c>
      <c r="E295" s="103"/>
      <c r="F295" s="101"/>
      <c r="G295" s="101">
        <v>1</v>
      </c>
      <c r="H295" s="101">
        <v>2013</v>
      </c>
      <c r="I295" s="101">
        <v>46</v>
      </c>
      <c r="J295" s="101">
        <f t="shared" si="33"/>
        <v>100</v>
      </c>
      <c r="K295" s="101">
        <f t="shared" si="37"/>
        <v>0</v>
      </c>
      <c r="L295" s="101"/>
      <c r="M295" s="101"/>
      <c r="N295" s="72"/>
      <c r="O295" s="101"/>
      <c r="P295" s="101"/>
      <c r="Q295" s="72"/>
    </row>
    <row r="296" spans="3:17" ht="15">
      <c r="C296" s="124">
        <v>32</v>
      </c>
      <c r="D296" s="101" t="s">
        <v>597</v>
      </c>
      <c r="E296" s="103"/>
      <c r="F296" s="101"/>
      <c r="G296" s="101">
        <v>1</v>
      </c>
      <c r="H296" s="101">
        <v>2013</v>
      </c>
      <c r="I296" s="101">
        <v>200</v>
      </c>
      <c r="J296" s="101">
        <f t="shared" si="33"/>
        <v>100</v>
      </c>
      <c r="K296" s="101">
        <f t="shared" si="37"/>
        <v>0</v>
      </c>
      <c r="L296" s="101"/>
      <c r="M296" s="101"/>
      <c r="N296" s="72"/>
      <c r="O296" s="101"/>
      <c r="P296" s="101"/>
      <c r="Q296" s="72"/>
    </row>
    <row r="297" spans="3:17" ht="15">
      <c r="C297" s="124">
        <v>33</v>
      </c>
      <c r="D297" s="101" t="s">
        <v>598</v>
      </c>
      <c r="E297" s="103"/>
      <c r="F297" s="101"/>
      <c r="G297" s="101">
        <v>2</v>
      </c>
      <c r="H297" s="101">
        <v>2013</v>
      </c>
      <c r="I297" s="101">
        <v>260</v>
      </c>
      <c r="J297" s="101">
        <f aca="true" t="shared" si="38" ref="J297:J320">IF(($J$14-H297)*J$264&gt;100,100,($J$14-H297)*J$264)</f>
        <v>100</v>
      </c>
      <c r="K297" s="101">
        <f t="shared" si="37"/>
        <v>0</v>
      </c>
      <c r="L297" s="101"/>
      <c r="M297" s="101"/>
      <c r="N297" s="72"/>
      <c r="O297" s="101"/>
      <c r="P297" s="101"/>
      <c r="Q297" s="72"/>
    </row>
    <row r="298" spans="3:17" ht="15">
      <c r="C298" s="124">
        <v>34</v>
      </c>
      <c r="D298" s="101" t="s">
        <v>599</v>
      </c>
      <c r="E298" s="103"/>
      <c r="F298" s="101"/>
      <c r="G298" s="101">
        <v>1</v>
      </c>
      <c r="H298" s="101">
        <v>2014</v>
      </c>
      <c r="I298" s="101">
        <v>82</v>
      </c>
      <c r="J298" s="101">
        <f t="shared" si="38"/>
        <v>100</v>
      </c>
      <c r="K298" s="101">
        <f t="shared" si="37"/>
        <v>0</v>
      </c>
      <c r="L298" s="101"/>
      <c r="M298" s="101"/>
      <c r="N298" s="72"/>
      <c r="O298" s="101"/>
      <c r="P298" s="101"/>
      <c r="Q298" s="72"/>
    </row>
    <row r="299" spans="3:17" ht="15">
      <c r="C299" s="124">
        <v>35</v>
      </c>
      <c r="D299" s="101" t="s">
        <v>600</v>
      </c>
      <c r="E299" s="103"/>
      <c r="F299" s="101"/>
      <c r="G299" s="101">
        <v>1</v>
      </c>
      <c r="H299" s="101">
        <v>2015</v>
      </c>
      <c r="I299" s="101">
        <v>330</v>
      </c>
      <c r="J299" s="101">
        <f t="shared" si="38"/>
        <v>100</v>
      </c>
      <c r="K299" s="101">
        <f t="shared" si="37"/>
        <v>0</v>
      </c>
      <c r="L299" s="101"/>
      <c r="M299" s="101"/>
      <c r="N299" s="72"/>
      <c r="O299" s="101"/>
      <c r="P299" s="101"/>
      <c r="Q299" s="72"/>
    </row>
    <row r="300" spans="3:17" ht="15">
      <c r="C300" s="124">
        <v>36</v>
      </c>
      <c r="D300" s="101" t="s">
        <v>601</v>
      </c>
      <c r="E300" s="103"/>
      <c r="F300" s="101"/>
      <c r="G300" s="101">
        <v>12</v>
      </c>
      <c r="H300" s="101">
        <v>2015</v>
      </c>
      <c r="I300" s="101">
        <v>456</v>
      </c>
      <c r="J300" s="101">
        <f t="shared" si="38"/>
        <v>100</v>
      </c>
      <c r="K300" s="101">
        <f>IF(J300=100,0,I300-I300*J300%)</f>
        <v>0</v>
      </c>
      <c r="L300" s="101"/>
      <c r="M300" s="101"/>
      <c r="N300" s="72"/>
      <c r="O300" s="101"/>
      <c r="P300" s="101"/>
      <c r="Q300" s="72"/>
    </row>
    <row r="301" spans="3:17" ht="15">
      <c r="C301" s="124">
        <v>37</v>
      </c>
      <c r="D301" s="101" t="s">
        <v>602</v>
      </c>
      <c r="E301" s="103"/>
      <c r="F301" s="101"/>
      <c r="G301" s="101">
        <v>1</v>
      </c>
      <c r="H301" s="101">
        <v>2012</v>
      </c>
      <c r="I301" s="101">
        <v>498</v>
      </c>
      <c r="J301" s="101">
        <f t="shared" si="38"/>
        <v>100</v>
      </c>
      <c r="K301" s="101">
        <f>IF(J301=100,0,I301-I301*J301%)</f>
        <v>0</v>
      </c>
      <c r="L301" s="101"/>
      <c r="M301" s="101"/>
      <c r="N301" s="72"/>
      <c r="O301" s="101"/>
      <c r="P301" s="101"/>
      <c r="Q301" s="72"/>
    </row>
    <row r="302" spans="3:17" ht="15">
      <c r="C302" s="124">
        <v>38</v>
      </c>
      <c r="D302" s="101" t="s">
        <v>603</v>
      </c>
      <c r="E302" s="103"/>
      <c r="F302" s="101"/>
      <c r="G302" s="101">
        <v>1</v>
      </c>
      <c r="H302" s="101">
        <v>2017</v>
      </c>
      <c r="I302" s="101">
        <v>329</v>
      </c>
      <c r="J302" s="101">
        <f t="shared" si="38"/>
        <v>75</v>
      </c>
      <c r="K302" s="101">
        <f>IF(J302=100,0,I302-I302*J302%)</f>
        <v>82.25</v>
      </c>
      <c r="L302" s="101"/>
      <c r="M302" s="101"/>
      <c r="N302" s="72"/>
      <c r="O302" s="101"/>
      <c r="P302" s="101"/>
      <c r="Q302" s="72"/>
    </row>
    <row r="303" spans="3:17" ht="15">
      <c r="C303" s="124">
        <v>39</v>
      </c>
      <c r="D303" s="101" t="s">
        <v>604</v>
      </c>
      <c r="E303" s="103"/>
      <c r="F303" s="101"/>
      <c r="G303" s="101">
        <v>1</v>
      </c>
      <c r="H303" s="101">
        <v>2017</v>
      </c>
      <c r="I303" s="101">
        <v>360</v>
      </c>
      <c r="J303" s="101">
        <f t="shared" si="38"/>
        <v>75</v>
      </c>
      <c r="K303" s="101">
        <f>IF(J303=100,0,I303-I303*J303%)</f>
        <v>90</v>
      </c>
      <c r="L303" s="101"/>
      <c r="M303" s="101"/>
      <c r="N303" s="72"/>
      <c r="O303" s="101"/>
      <c r="P303" s="101"/>
      <c r="Q303" s="72"/>
    </row>
    <row r="304" spans="3:17" ht="15">
      <c r="C304" s="124">
        <v>40</v>
      </c>
      <c r="D304" s="101" t="s">
        <v>602</v>
      </c>
      <c r="E304" s="103"/>
      <c r="F304" s="101"/>
      <c r="G304" s="101">
        <v>1</v>
      </c>
      <c r="H304" s="101">
        <v>2018</v>
      </c>
      <c r="I304" s="101">
        <v>310</v>
      </c>
      <c r="J304" s="101">
        <f t="shared" si="38"/>
        <v>62.5</v>
      </c>
      <c r="K304" s="101">
        <f>IF(J304=100,0,I304-I304*J304%)</f>
        <v>116.25</v>
      </c>
      <c r="L304" s="101"/>
      <c r="M304" s="101"/>
      <c r="N304" s="72"/>
      <c r="O304" s="101"/>
      <c r="P304" s="101"/>
      <c r="Q304" s="72"/>
    </row>
    <row r="305" spans="3:17" ht="15">
      <c r="C305" s="124">
        <v>41</v>
      </c>
      <c r="D305" s="101" t="s">
        <v>605</v>
      </c>
      <c r="E305" s="103"/>
      <c r="F305" s="101"/>
      <c r="G305" s="101">
        <v>12</v>
      </c>
      <c r="H305" s="101">
        <v>2018</v>
      </c>
      <c r="I305" s="101">
        <v>1310</v>
      </c>
      <c r="J305" s="101">
        <f t="shared" si="38"/>
        <v>62.5</v>
      </c>
      <c r="K305" s="101">
        <f aca="true" t="shared" si="39" ref="K305:K311">IF(J305=100,0,I305-I305*J305%)</f>
        <v>491.25</v>
      </c>
      <c r="L305" s="101"/>
      <c r="M305" s="101"/>
      <c r="N305" s="72"/>
      <c r="O305" s="101"/>
      <c r="P305" s="101"/>
      <c r="Q305" s="72"/>
    </row>
    <row r="306" spans="3:17" ht="15">
      <c r="C306" s="124">
        <v>42</v>
      </c>
      <c r="D306" s="101" t="s">
        <v>606</v>
      </c>
      <c r="E306" s="103"/>
      <c r="F306" s="101"/>
      <c r="G306" s="101">
        <v>4</v>
      </c>
      <c r="H306" s="101">
        <v>2018</v>
      </c>
      <c r="I306" s="101">
        <v>581</v>
      </c>
      <c r="J306" s="101">
        <f t="shared" si="38"/>
        <v>62.5</v>
      </c>
      <c r="K306" s="101">
        <f t="shared" si="39"/>
        <v>217.875</v>
      </c>
      <c r="L306" s="101"/>
      <c r="M306" s="101"/>
      <c r="N306" s="72"/>
      <c r="O306" s="101"/>
      <c r="P306" s="101"/>
      <c r="Q306" s="72"/>
    </row>
    <row r="307" spans="3:17" ht="15">
      <c r="C307" s="124">
        <v>43</v>
      </c>
      <c r="D307" s="101" t="s">
        <v>607</v>
      </c>
      <c r="E307" s="103"/>
      <c r="F307" s="101"/>
      <c r="G307" s="101">
        <v>1</v>
      </c>
      <c r="H307" s="101">
        <v>2021</v>
      </c>
      <c r="I307" s="101">
        <v>290</v>
      </c>
      <c r="J307" s="101">
        <f t="shared" si="38"/>
        <v>25</v>
      </c>
      <c r="K307" s="101">
        <f t="shared" si="39"/>
        <v>217.5</v>
      </c>
      <c r="L307" s="101"/>
      <c r="M307" s="101"/>
      <c r="N307" s="72"/>
      <c r="O307" s="101"/>
      <c r="P307" s="101"/>
      <c r="Q307" s="72"/>
    </row>
    <row r="308" spans="3:17" ht="15">
      <c r="C308" s="124">
        <v>44</v>
      </c>
      <c r="D308" s="101" t="s">
        <v>608</v>
      </c>
      <c r="E308" s="103"/>
      <c r="F308" s="101"/>
      <c r="G308" s="101">
        <v>1</v>
      </c>
      <c r="H308" s="101">
        <v>2021</v>
      </c>
      <c r="I308" s="101">
        <v>56</v>
      </c>
      <c r="J308" s="101">
        <f t="shared" si="38"/>
        <v>25</v>
      </c>
      <c r="K308" s="101">
        <f t="shared" si="39"/>
        <v>42</v>
      </c>
      <c r="L308" s="101"/>
      <c r="M308" s="101"/>
      <c r="N308" s="72"/>
      <c r="O308" s="101"/>
      <c r="P308" s="101"/>
      <c r="Q308" s="72"/>
    </row>
    <row r="309" spans="3:17" ht="15">
      <c r="C309" s="124">
        <v>45</v>
      </c>
      <c r="D309" s="101" t="s">
        <v>609</v>
      </c>
      <c r="E309" s="103"/>
      <c r="F309" s="101"/>
      <c r="G309" s="101">
        <v>1</v>
      </c>
      <c r="H309" s="101">
        <v>2021</v>
      </c>
      <c r="I309" s="101">
        <v>279</v>
      </c>
      <c r="J309" s="101">
        <f t="shared" si="38"/>
        <v>25</v>
      </c>
      <c r="K309" s="101">
        <f t="shared" si="39"/>
        <v>209.25</v>
      </c>
      <c r="L309" s="101"/>
      <c r="M309" s="101"/>
      <c r="N309" s="72"/>
      <c r="O309" s="101"/>
      <c r="P309" s="101"/>
      <c r="Q309" s="72"/>
    </row>
    <row r="310" spans="3:17" ht="15">
      <c r="C310" s="124">
        <v>46</v>
      </c>
      <c r="D310" s="101" t="s">
        <v>610</v>
      </c>
      <c r="E310" s="103"/>
      <c r="F310" s="101"/>
      <c r="G310" s="101">
        <v>36</v>
      </c>
      <c r="H310" s="101">
        <v>2018</v>
      </c>
      <c r="I310" s="101">
        <v>4302</v>
      </c>
      <c r="J310" s="101">
        <f t="shared" si="38"/>
        <v>62.5</v>
      </c>
      <c r="K310" s="101">
        <f t="shared" si="39"/>
        <v>1613.25</v>
      </c>
      <c r="L310" s="101"/>
      <c r="M310" s="101"/>
      <c r="N310" s="72"/>
      <c r="O310" s="101"/>
      <c r="P310" s="101"/>
      <c r="Q310" s="72"/>
    </row>
    <row r="311" spans="3:17" ht="15">
      <c r="C311" s="124">
        <v>47</v>
      </c>
      <c r="D311" s="101" t="s">
        <v>611</v>
      </c>
      <c r="E311" s="103"/>
      <c r="F311" s="101"/>
      <c r="G311" s="101">
        <v>1</v>
      </c>
      <c r="H311" s="101">
        <v>2019</v>
      </c>
      <c r="I311" s="101">
        <v>200</v>
      </c>
      <c r="J311" s="101">
        <f t="shared" si="38"/>
        <v>50</v>
      </c>
      <c r="K311" s="101">
        <f t="shared" si="39"/>
        <v>100</v>
      </c>
      <c r="L311" s="101"/>
      <c r="M311" s="101"/>
      <c r="N311" s="72"/>
      <c r="O311" s="101"/>
      <c r="P311" s="101"/>
      <c r="Q311" s="72"/>
    </row>
    <row r="312" spans="3:17" ht="15">
      <c r="C312" s="124">
        <v>48</v>
      </c>
      <c r="D312" s="101" t="s">
        <v>612</v>
      </c>
      <c r="E312" s="103"/>
      <c r="F312" s="101"/>
      <c r="G312" s="101">
        <v>1</v>
      </c>
      <c r="H312" s="101">
        <v>2019</v>
      </c>
      <c r="I312" s="101">
        <v>371</v>
      </c>
      <c r="J312" s="101">
        <f t="shared" si="38"/>
        <v>50</v>
      </c>
      <c r="K312" s="101">
        <f aca="true" t="shared" si="40" ref="K312:K320">IF(J312=100,0,I312-I312*J312%)</f>
        <v>185.5</v>
      </c>
      <c r="L312" s="101"/>
      <c r="M312" s="101"/>
      <c r="N312" s="72"/>
      <c r="O312" s="101"/>
      <c r="P312" s="101"/>
      <c r="Q312" s="72"/>
    </row>
    <row r="313" spans="3:17" ht="15">
      <c r="C313" s="124">
        <v>49</v>
      </c>
      <c r="D313" s="101" t="s">
        <v>613</v>
      </c>
      <c r="E313" s="103"/>
      <c r="F313" s="101"/>
      <c r="G313" s="101">
        <v>2</v>
      </c>
      <c r="H313" s="101">
        <v>2021</v>
      </c>
      <c r="I313" s="101">
        <v>400</v>
      </c>
      <c r="J313" s="101">
        <f t="shared" si="38"/>
        <v>25</v>
      </c>
      <c r="K313" s="101">
        <f t="shared" si="40"/>
        <v>300</v>
      </c>
      <c r="L313" s="101"/>
      <c r="M313" s="101"/>
      <c r="N313" s="72"/>
      <c r="O313" s="101"/>
      <c r="P313" s="101"/>
      <c r="Q313" s="72"/>
    </row>
    <row r="314" spans="3:17" ht="15">
      <c r="C314" s="124">
        <v>50</v>
      </c>
      <c r="D314" s="101" t="s">
        <v>614</v>
      </c>
      <c r="E314" s="103"/>
      <c r="F314" s="101"/>
      <c r="G314" s="101">
        <v>2</v>
      </c>
      <c r="H314" s="101">
        <v>2019</v>
      </c>
      <c r="I314" s="101">
        <v>974</v>
      </c>
      <c r="J314" s="101">
        <f t="shared" si="38"/>
        <v>50</v>
      </c>
      <c r="K314" s="101">
        <f t="shared" si="40"/>
        <v>487</v>
      </c>
      <c r="L314" s="101"/>
      <c r="M314" s="101"/>
      <c r="N314" s="72"/>
      <c r="O314" s="101"/>
      <c r="P314" s="101"/>
      <c r="Q314" s="72"/>
    </row>
    <row r="315" spans="3:17" ht="15">
      <c r="C315" s="124">
        <v>51</v>
      </c>
      <c r="D315" s="101" t="s">
        <v>615</v>
      </c>
      <c r="E315" s="103"/>
      <c r="F315" s="101"/>
      <c r="G315" s="101">
        <v>2</v>
      </c>
      <c r="H315" s="101">
        <v>2019</v>
      </c>
      <c r="I315" s="101">
        <v>150</v>
      </c>
      <c r="J315" s="101">
        <f t="shared" si="38"/>
        <v>50</v>
      </c>
      <c r="K315" s="101">
        <f t="shared" si="40"/>
        <v>75</v>
      </c>
      <c r="L315" s="101"/>
      <c r="M315" s="101"/>
      <c r="N315" s="72"/>
      <c r="O315" s="101"/>
      <c r="P315" s="101"/>
      <c r="Q315" s="72"/>
    </row>
    <row r="316" spans="3:17" ht="15">
      <c r="C316" s="124">
        <v>52</v>
      </c>
      <c r="D316" s="101" t="s">
        <v>616</v>
      </c>
      <c r="E316" s="103"/>
      <c r="F316" s="101"/>
      <c r="G316" s="101">
        <v>5</v>
      </c>
      <c r="H316" s="101">
        <v>2019</v>
      </c>
      <c r="I316" s="101">
        <v>600</v>
      </c>
      <c r="J316" s="101">
        <f t="shared" si="38"/>
        <v>50</v>
      </c>
      <c r="K316" s="101">
        <f t="shared" si="40"/>
        <v>300</v>
      </c>
      <c r="L316" s="101"/>
      <c r="M316" s="101"/>
      <c r="N316" s="72"/>
      <c r="O316" s="101"/>
      <c r="P316" s="101"/>
      <c r="Q316" s="72"/>
    </row>
    <row r="317" spans="3:17" ht="15">
      <c r="C317" s="124">
        <v>53</v>
      </c>
      <c r="D317" s="101" t="s">
        <v>617</v>
      </c>
      <c r="E317" s="103"/>
      <c r="F317" s="101"/>
      <c r="G317" s="101">
        <v>3</v>
      </c>
      <c r="H317" s="101">
        <v>2019</v>
      </c>
      <c r="I317" s="101">
        <v>609</v>
      </c>
      <c r="J317" s="101">
        <f t="shared" si="38"/>
        <v>50</v>
      </c>
      <c r="K317" s="101">
        <f t="shared" si="40"/>
        <v>304.5</v>
      </c>
      <c r="L317" s="101"/>
      <c r="M317" s="101"/>
      <c r="N317" s="72"/>
      <c r="O317" s="101"/>
      <c r="P317" s="101"/>
      <c r="Q317" s="72"/>
    </row>
    <row r="318" spans="3:17" ht="15">
      <c r="C318" s="124">
        <v>54</v>
      </c>
      <c r="D318" s="101" t="s">
        <v>618</v>
      </c>
      <c r="E318" s="103"/>
      <c r="F318" s="101"/>
      <c r="G318" s="101">
        <v>2</v>
      </c>
      <c r="H318" s="101">
        <v>2019</v>
      </c>
      <c r="I318" s="101">
        <v>330</v>
      </c>
      <c r="J318" s="101">
        <f t="shared" si="38"/>
        <v>50</v>
      </c>
      <c r="K318" s="101">
        <f t="shared" si="40"/>
        <v>165</v>
      </c>
      <c r="L318" s="101"/>
      <c r="M318" s="101"/>
      <c r="N318" s="72"/>
      <c r="O318" s="101"/>
      <c r="P318" s="101"/>
      <c r="Q318" s="72"/>
    </row>
    <row r="319" spans="3:17" ht="15">
      <c r="C319" s="124">
        <v>55</v>
      </c>
      <c r="D319" s="101" t="s">
        <v>619</v>
      </c>
      <c r="E319" s="103"/>
      <c r="F319" s="101"/>
      <c r="G319" s="101">
        <v>3</v>
      </c>
      <c r="H319" s="101">
        <v>2020</v>
      </c>
      <c r="I319" s="101">
        <v>162</v>
      </c>
      <c r="J319" s="101">
        <f t="shared" si="38"/>
        <v>37.5</v>
      </c>
      <c r="K319" s="101">
        <f t="shared" si="40"/>
        <v>101.25</v>
      </c>
      <c r="L319" s="101"/>
      <c r="M319" s="101"/>
      <c r="N319" s="72"/>
      <c r="O319" s="101"/>
      <c r="P319" s="101"/>
      <c r="Q319" s="72"/>
    </row>
    <row r="320" spans="3:17" ht="15">
      <c r="C320" s="124">
        <v>56</v>
      </c>
      <c r="D320" s="101" t="s">
        <v>620</v>
      </c>
      <c r="E320" s="103"/>
      <c r="F320" s="101"/>
      <c r="G320" s="101">
        <v>1</v>
      </c>
      <c r="H320" s="101">
        <v>2020</v>
      </c>
      <c r="I320" s="101">
        <v>1600</v>
      </c>
      <c r="J320" s="101">
        <f t="shared" si="38"/>
        <v>37.5</v>
      </c>
      <c r="K320" s="101">
        <f t="shared" si="40"/>
        <v>1000</v>
      </c>
      <c r="L320" s="101"/>
      <c r="M320" s="101"/>
      <c r="N320" s="72"/>
      <c r="O320" s="101"/>
      <c r="P320" s="101"/>
      <c r="Q320" s="72"/>
    </row>
    <row r="321" spans="1:17" ht="41.25" customHeight="1">
      <c r="A321" s="427"/>
      <c r="B321" s="427"/>
      <c r="C321" s="426">
        <v>629</v>
      </c>
      <c r="D321" s="410" t="s">
        <v>294</v>
      </c>
      <c r="E321" s="411">
        <v>8</v>
      </c>
      <c r="F321" s="101"/>
      <c r="G321" s="397">
        <f>SUM(G322:G345)</f>
        <v>42</v>
      </c>
      <c r="H321" s="101"/>
      <c r="I321" s="101"/>
      <c r="J321" s="432">
        <v>12.5</v>
      </c>
      <c r="K321" s="101"/>
      <c r="L321" s="397">
        <f>SUM(L322:L345)</f>
        <v>0</v>
      </c>
      <c r="M321" s="101"/>
      <c r="N321" s="397">
        <f>+L321*M321</f>
        <v>0</v>
      </c>
      <c r="O321" s="397"/>
      <c r="P321" s="101"/>
      <c r="Q321" s="397">
        <f>+O321*P321</f>
        <v>0</v>
      </c>
    </row>
    <row r="322" spans="3:17" ht="14.25" customHeight="1">
      <c r="C322" s="124">
        <v>1</v>
      </c>
      <c r="D322" s="101" t="s">
        <v>621</v>
      </c>
      <c r="E322" s="103"/>
      <c r="F322" s="101"/>
      <c r="G322" s="101">
        <v>1</v>
      </c>
      <c r="H322" s="101">
        <v>1997</v>
      </c>
      <c r="I322" s="101">
        <v>135</v>
      </c>
      <c r="J322" s="101">
        <f aca="true" t="shared" si="41" ref="J322:J345">IF(($J$14-H322)*J$321&gt;100,100,($J$14-H322)*J$321)</f>
        <v>100</v>
      </c>
      <c r="K322" s="101">
        <f>IF(J322=100,0,I322-I322*J322%)</f>
        <v>0</v>
      </c>
      <c r="L322" s="101"/>
      <c r="M322" s="101"/>
      <c r="N322" s="72">
        <f>+L322*M322</f>
        <v>0</v>
      </c>
      <c r="O322" s="101"/>
      <c r="P322" s="101"/>
      <c r="Q322" s="72">
        <f>+O322*P322</f>
        <v>0</v>
      </c>
    </row>
    <row r="323" spans="3:17" ht="14.25" customHeight="1">
      <c r="C323" s="124">
        <v>2</v>
      </c>
      <c r="D323" s="101" t="s">
        <v>622</v>
      </c>
      <c r="E323" s="103"/>
      <c r="F323" s="101"/>
      <c r="G323" s="101">
        <v>1</v>
      </c>
      <c r="H323" s="101">
        <v>1996</v>
      </c>
      <c r="I323" s="101">
        <v>214</v>
      </c>
      <c r="J323" s="101">
        <f t="shared" si="41"/>
        <v>100</v>
      </c>
      <c r="K323" s="101">
        <f aca="true" t="shared" si="42" ref="K323:K337">IF(J323=100,0,I323-I323*J323%)</f>
        <v>0</v>
      </c>
      <c r="L323" s="101"/>
      <c r="M323" s="101"/>
      <c r="N323" s="72"/>
      <c r="O323" s="101"/>
      <c r="P323" s="101"/>
      <c r="Q323" s="72"/>
    </row>
    <row r="324" spans="3:17" ht="14.25" customHeight="1">
      <c r="C324" s="124">
        <v>3</v>
      </c>
      <c r="D324" s="101" t="s">
        <v>623</v>
      </c>
      <c r="E324" s="103"/>
      <c r="F324" s="101"/>
      <c r="G324" s="101">
        <v>2</v>
      </c>
      <c r="H324" s="101">
        <v>1996</v>
      </c>
      <c r="I324" s="101">
        <v>204</v>
      </c>
      <c r="J324" s="101">
        <f t="shared" si="41"/>
        <v>100</v>
      </c>
      <c r="K324" s="101">
        <f t="shared" si="42"/>
        <v>0</v>
      </c>
      <c r="L324" s="101"/>
      <c r="M324" s="101"/>
      <c r="N324" s="72"/>
      <c r="O324" s="101"/>
      <c r="P324" s="101"/>
      <c r="Q324" s="72"/>
    </row>
    <row r="325" spans="3:17" ht="14.25" customHeight="1">
      <c r="C325" s="124">
        <v>4</v>
      </c>
      <c r="D325" s="101" t="s">
        <v>624</v>
      </c>
      <c r="E325" s="103"/>
      <c r="F325" s="101"/>
      <c r="G325" s="101">
        <v>1</v>
      </c>
      <c r="H325" s="101">
        <v>1996</v>
      </c>
      <c r="I325" s="101">
        <v>390</v>
      </c>
      <c r="J325" s="101">
        <f t="shared" si="41"/>
        <v>100</v>
      </c>
      <c r="K325" s="101">
        <f t="shared" si="42"/>
        <v>0</v>
      </c>
      <c r="L325" s="101"/>
      <c r="M325" s="101"/>
      <c r="N325" s="72"/>
      <c r="O325" s="101"/>
      <c r="P325" s="101"/>
      <c r="Q325" s="72"/>
    </row>
    <row r="326" spans="3:17" ht="14.25" customHeight="1">
      <c r="C326" s="124">
        <v>5</v>
      </c>
      <c r="D326" s="101" t="s">
        <v>625</v>
      </c>
      <c r="E326" s="103"/>
      <c r="F326" s="101"/>
      <c r="G326" s="101">
        <v>1</v>
      </c>
      <c r="H326" s="101">
        <v>1996</v>
      </c>
      <c r="I326" s="101">
        <v>576</v>
      </c>
      <c r="J326" s="101">
        <f t="shared" si="41"/>
        <v>100</v>
      </c>
      <c r="K326" s="101">
        <f t="shared" si="42"/>
        <v>0</v>
      </c>
      <c r="L326" s="101"/>
      <c r="M326" s="101"/>
      <c r="N326" s="72"/>
      <c r="O326" s="101"/>
      <c r="P326" s="101"/>
      <c r="Q326" s="72"/>
    </row>
    <row r="327" spans="3:17" ht="14.25" customHeight="1">
      <c r="C327" s="124">
        <v>6</v>
      </c>
      <c r="D327" s="101" t="s">
        <v>626</v>
      </c>
      <c r="E327" s="103"/>
      <c r="F327" s="101"/>
      <c r="G327" s="101">
        <v>1</v>
      </c>
      <c r="H327" s="101">
        <v>1997</v>
      </c>
      <c r="I327" s="101">
        <v>35</v>
      </c>
      <c r="J327" s="101">
        <f t="shared" si="41"/>
        <v>100</v>
      </c>
      <c r="K327" s="101">
        <f t="shared" si="42"/>
        <v>0</v>
      </c>
      <c r="L327" s="101"/>
      <c r="M327" s="101"/>
      <c r="N327" s="72"/>
      <c r="O327" s="101"/>
      <c r="P327" s="101"/>
      <c r="Q327" s="72"/>
    </row>
    <row r="328" spans="3:17" ht="14.25" customHeight="1">
      <c r="C328" s="124">
        <v>7</v>
      </c>
      <c r="D328" s="101" t="s">
        <v>627</v>
      </c>
      <c r="E328" s="103"/>
      <c r="F328" s="101"/>
      <c r="G328" s="101">
        <v>1</v>
      </c>
      <c r="H328" s="101">
        <v>1997</v>
      </c>
      <c r="I328" s="101">
        <v>1</v>
      </c>
      <c r="J328" s="101">
        <f t="shared" si="41"/>
        <v>100</v>
      </c>
      <c r="K328" s="101">
        <f t="shared" si="42"/>
        <v>0</v>
      </c>
      <c r="L328" s="101"/>
      <c r="M328" s="101"/>
      <c r="N328" s="72"/>
      <c r="O328" s="101"/>
      <c r="P328" s="101"/>
      <c r="Q328" s="72"/>
    </row>
    <row r="329" spans="3:17" ht="14.25" customHeight="1">
      <c r="C329" s="124">
        <v>8</v>
      </c>
      <c r="D329" s="101" t="s">
        <v>628</v>
      </c>
      <c r="E329" s="103"/>
      <c r="F329" s="101"/>
      <c r="G329" s="101">
        <v>1</v>
      </c>
      <c r="H329" s="101">
        <v>1997</v>
      </c>
      <c r="I329" s="101">
        <v>92</v>
      </c>
      <c r="J329" s="101">
        <f t="shared" si="41"/>
        <v>100</v>
      </c>
      <c r="K329" s="101">
        <f t="shared" si="42"/>
        <v>0</v>
      </c>
      <c r="L329" s="101"/>
      <c r="M329" s="101"/>
      <c r="N329" s="72"/>
      <c r="O329" s="101"/>
      <c r="P329" s="101"/>
      <c r="Q329" s="72"/>
    </row>
    <row r="330" spans="3:17" ht="14.25" customHeight="1">
      <c r="C330" s="124">
        <v>9</v>
      </c>
      <c r="D330" s="101" t="s">
        <v>629</v>
      </c>
      <c r="E330" s="103"/>
      <c r="F330" s="101"/>
      <c r="G330" s="101">
        <v>1</v>
      </c>
      <c r="H330" s="101">
        <v>1998</v>
      </c>
      <c r="I330" s="101">
        <v>32</v>
      </c>
      <c r="J330" s="101">
        <f t="shared" si="41"/>
        <v>100</v>
      </c>
      <c r="K330" s="101">
        <f t="shared" si="42"/>
        <v>0</v>
      </c>
      <c r="L330" s="101"/>
      <c r="M330" s="101"/>
      <c r="N330" s="72"/>
      <c r="O330" s="101"/>
      <c r="P330" s="101"/>
      <c r="Q330" s="72"/>
    </row>
    <row r="331" spans="3:17" ht="14.25" customHeight="1">
      <c r="C331" s="124">
        <v>10</v>
      </c>
      <c r="D331" s="101" t="s">
        <v>630</v>
      </c>
      <c r="E331" s="103"/>
      <c r="F331" s="101"/>
      <c r="G331" s="101">
        <v>3</v>
      </c>
      <c r="H331" s="101">
        <v>1996</v>
      </c>
      <c r="I331" s="101">
        <v>300</v>
      </c>
      <c r="J331" s="101">
        <f t="shared" si="41"/>
        <v>100</v>
      </c>
      <c r="K331" s="101">
        <f t="shared" si="42"/>
        <v>0</v>
      </c>
      <c r="L331" s="101"/>
      <c r="M331" s="101"/>
      <c r="N331" s="72"/>
      <c r="O331" s="101"/>
      <c r="P331" s="101"/>
      <c r="Q331" s="72"/>
    </row>
    <row r="332" spans="3:17" ht="14.25" customHeight="1">
      <c r="C332" s="124">
        <v>11</v>
      </c>
      <c r="D332" s="101" t="s">
        <v>631</v>
      </c>
      <c r="E332" s="103"/>
      <c r="F332" s="101"/>
      <c r="G332" s="101">
        <v>1</v>
      </c>
      <c r="H332" s="101">
        <v>2001</v>
      </c>
      <c r="I332" s="101">
        <v>1080</v>
      </c>
      <c r="J332" s="101">
        <f t="shared" si="41"/>
        <v>100</v>
      </c>
      <c r="K332" s="101">
        <f>IF(J332=100,0,I332-I332*J332%)</f>
        <v>0</v>
      </c>
      <c r="L332" s="101"/>
      <c r="M332" s="101"/>
      <c r="N332" s="72"/>
      <c r="O332" s="101"/>
      <c r="P332" s="101"/>
      <c r="Q332" s="72"/>
    </row>
    <row r="333" spans="3:17" ht="14.25" customHeight="1">
      <c r="C333" s="124">
        <v>12</v>
      </c>
      <c r="D333" s="101" t="s">
        <v>632</v>
      </c>
      <c r="E333" s="103"/>
      <c r="F333" s="101"/>
      <c r="G333" s="101">
        <v>1</v>
      </c>
      <c r="H333" s="101">
        <v>2007</v>
      </c>
      <c r="I333" s="101">
        <v>32</v>
      </c>
      <c r="J333" s="101">
        <f t="shared" si="41"/>
        <v>100</v>
      </c>
      <c r="K333" s="101">
        <f>IF(J333=100,0,I333-I333*J333%)</f>
        <v>0</v>
      </c>
      <c r="L333" s="101"/>
      <c r="M333" s="101"/>
      <c r="N333" s="72"/>
      <c r="O333" s="101"/>
      <c r="P333" s="101"/>
      <c r="Q333" s="72"/>
    </row>
    <row r="334" spans="3:17" ht="14.25" customHeight="1">
      <c r="C334" s="124">
        <v>13</v>
      </c>
      <c r="D334" s="101" t="s">
        <v>633</v>
      </c>
      <c r="E334" s="103"/>
      <c r="F334" s="101"/>
      <c r="G334" s="101">
        <v>1</v>
      </c>
      <c r="H334" s="101">
        <v>2007</v>
      </c>
      <c r="I334" s="101">
        <v>32</v>
      </c>
      <c r="J334" s="101">
        <f t="shared" si="41"/>
        <v>100</v>
      </c>
      <c r="K334" s="101">
        <f>IF(J334=100,0,I334-I334*J334%)</f>
        <v>0</v>
      </c>
      <c r="L334" s="101"/>
      <c r="M334" s="101"/>
      <c r="N334" s="72"/>
      <c r="O334" s="101"/>
      <c r="P334" s="101"/>
      <c r="Q334" s="72"/>
    </row>
    <row r="335" spans="3:17" ht="14.25" customHeight="1">
      <c r="C335" s="124">
        <v>14</v>
      </c>
      <c r="D335" s="101" t="s">
        <v>634</v>
      </c>
      <c r="E335" s="103"/>
      <c r="F335" s="101"/>
      <c r="G335" s="101">
        <v>1</v>
      </c>
      <c r="H335" s="101">
        <v>2007</v>
      </c>
      <c r="I335" s="101">
        <v>32</v>
      </c>
      <c r="J335" s="101">
        <f t="shared" si="41"/>
        <v>100</v>
      </c>
      <c r="K335" s="101">
        <f>IF(J335=100,0,I335-I335*J335%)</f>
        <v>0</v>
      </c>
      <c r="L335" s="101"/>
      <c r="M335" s="101"/>
      <c r="N335" s="72"/>
      <c r="O335" s="101"/>
      <c r="P335" s="101"/>
      <c r="Q335" s="72"/>
    </row>
    <row r="336" spans="3:17" ht="14.25" customHeight="1">
      <c r="C336" s="124">
        <v>15</v>
      </c>
      <c r="D336" s="101" t="s">
        <v>635</v>
      </c>
      <c r="E336" s="103"/>
      <c r="F336" s="101"/>
      <c r="G336" s="101">
        <v>1</v>
      </c>
      <c r="H336" s="101">
        <v>2011</v>
      </c>
      <c r="I336" s="101">
        <v>114</v>
      </c>
      <c r="J336" s="101">
        <f t="shared" si="41"/>
        <v>100</v>
      </c>
      <c r="K336" s="101">
        <f t="shared" si="42"/>
        <v>0</v>
      </c>
      <c r="L336" s="101"/>
      <c r="M336" s="101"/>
      <c r="N336" s="72"/>
      <c r="O336" s="101"/>
      <c r="P336" s="101"/>
      <c r="Q336" s="72"/>
    </row>
    <row r="337" spans="3:17" ht="14.25" customHeight="1">
      <c r="C337" s="124">
        <v>16</v>
      </c>
      <c r="D337" s="101" t="s">
        <v>636</v>
      </c>
      <c r="E337" s="103"/>
      <c r="F337" s="101"/>
      <c r="G337" s="101">
        <v>1</v>
      </c>
      <c r="H337" s="101">
        <v>2011</v>
      </c>
      <c r="I337" s="101">
        <v>30</v>
      </c>
      <c r="J337" s="101">
        <f t="shared" si="41"/>
        <v>100</v>
      </c>
      <c r="K337" s="101">
        <f t="shared" si="42"/>
        <v>0</v>
      </c>
      <c r="L337" s="101"/>
      <c r="M337" s="101"/>
      <c r="N337" s="72"/>
      <c r="O337" s="101"/>
      <c r="P337" s="101"/>
      <c r="Q337" s="72"/>
    </row>
    <row r="338" spans="3:17" ht="14.25" customHeight="1">
      <c r="C338" s="124">
        <v>17</v>
      </c>
      <c r="D338" s="101" t="s">
        <v>637</v>
      </c>
      <c r="E338" s="103"/>
      <c r="F338" s="101"/>
      <c r="G338" s="101">
        <v>4</v>
      </c>
      <c r="H338" s="101">
        <v>2018</v>
      </c>
      <c r="I338" s="101">
        <v>300</v>
      </c>
      <c r="J338" s="101">
        <f t="shared" si="41"/>
        <v>62.5</v>
      </c>
      <c r="K338" s="101">
        <f aca="true" t="shared" si="43" ref="K338:K345">IF(J338=100,0,I338-I338*J338%)</f>
        <v>112.5</v>
      </c>
      <c r="L338" s="101"/>
      <c r="M338" s="101"/>
      <c r="N338" s="72"/>
      <c r="O338" s="101"/>
      <c r="P338" s="101"/>
      <c r="Q338" s="72"/>
    </row>
    <row r="339" spans="3:17" ht="14.25" customHeight="1">
      <c r="C339" s="124">
        <v>18</v>
      </c>
      <c r="D339" s="101" t="s">
        <v>638</v>
      </c>
      <c r="E339" s="103"/>
      <c r="F339" s="101"/>
      <c r="G339" s="101">
        <v>1</v>
      </c>
      <c r="H339" s="101">
        <v>2018</v>
      </c>
      <c r="I339" s="101">
        <v>35</v>
      </c>
      <c r="J339" s="101">
        <f t="shared" si="41"/>
        <v>62.5</v>
      </c>
      <c r="K339" s="101">
        <f t="shared" si="43"/>
        <v>13.125</v>
      </c>
      <c r="L339" s="101"/>
      <c r="M339" s="101"/>
      <c r="N339" s="72"/>
      <c r="O339" s="101"/>
      <c r="P339" s="101"/>
      <c r="Q339" s="72"/>
    </row>
    <row r="340" spans="3:17" ht="14.25" customHeight="1">
      <c r="C340" s="124">
        <v>19</v>
      </c>
      <c r="D340" s="101" t="s">
        <v>639</v>
      </c>
      <c r="E340" s="103"/>
      <c r="F340" s="101"/>
      <c r="G340" s="101">
        <v>1</v>
      </c>
      <c r="H340" s="101">
        <v>2018</v>
      </c>
      <c r="I340" s="101">
        <v>12</v>
      </c>
      <c r="J340" s="101">
        <f t="shared" si="41"/>
        <v>62.5</v>
      </c>
      <c r="K340" s="101">
        <f t="shared" si="43"/>
        <v>4.5</v>
      </c>
      <c r="L340" s="101"/>
      <c r="M340" s="101"/>
      <c r="N340" s="72"/>
      <c r="O340" s="101"/>
      <c r="P340" s="101"/>
      <c r="Q340" s="72"/>
    </row>
    <row r="341" spans="3:17" ht="14.25" customHeight="1">
      <c r="C341" s="124">
        <v>20</v>
      </c>
      <c r="D341" s="101" t="s">
        <v>640</v>
      </c>
      <c r="E341" s="103"/>
      <c r="F341" s="101"/>
      <c r="G341" s="101">
        <v>1</v>
      </c>
      <c r="H341" s="101">
        <v>2018</v>
      </c>
      <c r="I341" s="101">
        <v>55</v>
      </c>
      <c r="J341" s="101">
        <f t="shared" si="41"/>
        <v>62.5</v>
      </c>
      <c r="K341" s="101">
        <f t="shared" si="43"/>
        <v>20.625</v>
      </c>
      <c r="L341" s="101"/>
      <c r="M341" s="101"/>
      <c r="N341" s="72"/>
      <c r="O341" s="101"/>
      <c r="P341" s="101"/>
      <c r="Q341" s="72"/>
    </row>
    <row r="342" spans="3:17" ht="14.25" customHeight="1">
      <c r="C342" s="124">
        <v>21</v>
      </c>
      <c r="D342" s="101" t="s">
        <v>641</v>
      </c>
      <c r="E342" s="103"/>
      <c r="F342" s="101"/>
      <c r="G342" s="101">
        <v>10</v>
      </c>
      <c r="H342" s="101">
        <v>2019</v>
      </c>
      <c r="I342" s="101">
        <v>160</v>
      </c>
      <c r="J342" s="101">
        <f t="shared" si="41"/>
        <v>50</v>
      </c>
      <c r="K342" s="101">
        <f t="shared" si="43"/>
        <v>80</v>
      </c>
      <c r="L342" s="101"/>
      <c r="M342" s="101"/>
      <c r="N342" s="72"/>
      <c r="O342" s="101"/>
      <c r="P342" s="101"/>
      <c r="Q342" s="72"/>
    </row>
    <row r="343" spans="3:17" ht="14.25" customHeight="1">
      <c r="C343" s="124">
        <v>22</v>
      </c>
      <c r="D343" s="101" t="s">
        <v>642</v>
      </c>
      <c r="E343" s="103"/>
      <c r="F343" s="101"/>
      <c r="G343" s="101">
        <v>1</v>
      </c>
      <c r="H343" s="101">
        <v>2007</v>
      </c>
      <c r="I343" s="101">
        <v>60</v>
      </c>
      <c r="J343" s="101">
        <f t="shared" si="41"/>
        <v>100</v>
      </c>
      <c r="K343" s="101">
        <f t="shared" si="43"/>
        <v>0</v>
      </c>
      <c r="L343" s="101"/>
      <c r="M343" s="101"/>
      <c r="N343" s="72"/>
      <c r="O343" s="101"/>
      <c r="P343" s="101"/>
      <c r="Q343" s="72"/>
    </row>
    <row r="344" spans="3:17" ht="14.25" customHeight="1">
      <c r="C344" s="124">
        <v>23</v>
      </c>
      <c r="D344" s="101" t="s">
        <v>643</v>
      </c>
      <c r="E344" s="103"/>
      <c r="F344" s="101"/>
      <c r="G344" s="101">
        <v>1</v>
      </c>
      <c r="H344" s="101">
        <v>2007</v>
      </c>
      <c r="I344" s="101">
        <v>34</v>
      </c>
      <c r="J344" s="101">
        <f t="shared" si="41"/>
        <v>100</v>
      </c>
      <c r="K344" s="101">
        <f t="shared" si="43"/>
        <v>0</v>
      </c>
      <c r="L344" s="101"/>
      <c r="M344" s="101"/>
      <c r="N344" s="72"/>
      <c r="O344" s="101"/>
      <c r="P344" s="101"/>
      <c r="Q344" s="72"/>
    </row>
    <row r="345" spans="3:17" ht="14.25" customHeight="1">
      <c r="C345" s="124">
        <v>24</v>
      </c>
      <c r="D345" s="101" t="s">
        <v>644</v>
      </c>
      <c r="E345" s="103"/>
      <c r="F345" s="101"/>
      <c r="G345" s="101">
        <v>4</v>
      </c>
      <c r="H345" s="101">
        <v>2007</v>
      </c>
      <c r="I345" s="101">
        <v>116</v>
      </c>
      <c r="J345" s="101">
        <f t="shared" si="41"/>
        <v>100</v>
      </c>
      <c r="K345" s="101">
        <f t="shared" si="43"/>
        <v>0</v>
      </c>
      <c r="L345" s="101"/>
      <c r="M345" s="101"/>
      <c r="N345" s="72"/>
      <c r="O345" s="101"/>
      <c r="P345" s="101"/>
      <c r="Q345" s="72"/>
    </row>
    <row r="346" spans="1:17" ht="32.25" customHeight="1">
      <c r="A346" s="428"/>
      <c r="B346" s="429"/>
      <c r="C346" s="414"/>
      <c r="D346" s="415" t="s">
        <v>188</v>
      </c>
      <c r="E346" s="416"/>
      <c r="F346" s="417" t="s">
        <v>1</v>
      </c>
      <c r="G346" s="430" t="s">
        <v>1</v>
      </c>
      <c r="H346" s="418" t="s">
        <v>1</v>
      </c>
      <c r="I346" s="418" t="s">
        <v>1</v>
      </c>
      <c r="J346" s="418" t="s">
        <v>1</v>
      </c>
      <c r="K346" s="418" t="s">
        <v>1</v>
      </c>
      <c r="L346" s="430" t="s">
        <v>1</v>
      </c>
      <c r="M346" s="418" t="s">
        <v>1</v>
      </c>
      <c r="N346" s="419">
        <f>+N117+N15</f>
        <v>0</v>
      </c>
      <c r="O346" s="431" t="s">
        <v>1</v>
      </c>
      <c r="P346" s="418" t="s">
        <v>1</v>
      </c>
      <c r="Q346" s="419">
        <f>+Q117+Q15</f>
        <v>15814.7</v>
      </c>
    </row>
    <row r="347" ht="15">
      <c r="Q347" s="4"/>
    </row>
  </sheetData>
  <sheetProtection/>
  <mergeCells count="8">
    <mergeCell ref="O11:Q11"/>
    <mergeCell ref="J2:L2"/>
    <mergeCell ref="D4:H4"/>
    <mergeCell ref="C5:M5"/>
    <mergeCell ref="C7:M7"/>
    <mergeCell ref="G11:K11"/>
    <mergeCell ref="L11:N11"/>
    <mergeCell ref="C8:M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 Shishyan</dc:creator>
  <cp:keywords/>
  <dc:description/>
  <cp:lastModifiedBy>CHOPURYAN</cp:lastModifiedBy>
  <cp:lastPrinted>2022-03-01T08:27:18Z</cp:lastPrinted>
  <dcterms:created xsi:type="dcterms:W3CDTF">2003-05-20T07:22:10Z</dcterms:created>
  <dcterms:modified xsi:type="dcterms:W3CDTF">2022-03-02T08:03:48Z</dcterms:modified>
  <cp:category/>
  <cp:version/>
  <cp:contentType/>
  <cp:contentStatus/>
</cp:coreProperties>
</file>